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yma\Desktop\Biruni Üni\Yıllara göre yayınlar\"/>
    </mc:Choice>
  </mc:AlternateContent>
  <xr:revisionPtr revIDLastSave="0" documentId="8_{E211A495-F597-45FB-AE65-43E0BB7ECBBA}" xr6:coauthVersionLast="47" xr6:coauthVersionMax="47" xr10:uidLastSave="{00000000-0000-0000-0000-000000000000}"/>
  <bookViews>
    <workbookView xWindow="-23148" yWindow="2436" windowWidth="23256" windowHeight="12456" xr2:uid="{41FFD331-A046-44ED-A61A-A3AF28AE4E99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20" i="1" l="1"/>
  <c r="N220" i="1"/>
  <c r="P219" i="1"/>
  <c r="N219" i="1"/>
  <c r="P218" i="1"/>
  <c r="N218" i="1"/>
  <c r="P217" i="1"/>
  <c r="N217" i="1"/>
  <c r="P216" i="1"/>
  <c r="N216" i="1"/>
  <c r="P215" i="1"/>
  <c r="N215" i="1"/>
  <c r="P214" i="1"/>
  <c r="N214" i="1"/>
  <c r="P213" i="1"/>
  <c r="N213" i="1"/>
  <c r="P212" i="1"/>
  <c r="N212" i="1"/>
  <c r="P211" i="1"/>
  <c r="N211" i="1"/>
  <c r="P210" i="1"/>
  <c r="N210" i="1"/>
  <c r="P209" i="1"/>
  <c r="N209" i="1"/>
  <c r="P208" i="1"/>
  <c r="N208" i="1"/>
  <c r="P207" i="1"/>
  <c r="N207" i="1"/>
  <c r="P206" i="1"/>
  <c r="N206" i="1"/>
  <c r="P205" i="1"/>
  <c r="N205" i="1"/>
  <c r="P204" i="1"/>
  <c r="N204" i="1"/>
  <c r="P203" i="1"/>
  <c r="N203" i="1"/>
  <c r="P202" i="1"/>
  <c r="N202" i="1"/>
  <c r="P201" i="1"/>
  <c r="N201" i="1"/>
  <c r="P200" i="1"/>
  <c r="N200" i="1"/>
  <c r="P199" i="1"/>
  <c r="N199" i="1"/>
  <c r="P198" i="1"/>
  <c r="N198" i="1"/>
  <c r="P197" i="1"/>
  <c r="N197" i="1"/>
  <c r="P196" i="1"/>
  <c r="N196" i="1"/>
  <c r="P195" i="1"/>
  <c r="N195" i="1"/>
  <c r="P194" i="1"/>
  <c r="N194" i="1"/>
  <c r="P193" i="1"/>
  <c r="N193" i="1"/>
  <c r="P192" i="1"/>
  <c r="N192" i="1"/>
  <c r="P191" i="1"/>
  <c r="N191" i="1"/>
  <c r="P190" i="1"/>
  <c r="N190" i="1"/>
  <c r="P189" i="1"/>
  <c r="N189" i="1"/>
  <c r="P188" i="1"/>
  <c r="N188" i="1"/>
  <c r="P187" i="1"/>
  <c r="N187" i="1"/>
  <c r="P186" i="1"/>
  <c r="N186" i="1"/>
  <c r="P185" i="1"/>
  <c r="N185" i="1"/>
  <c r="P184" i="1"/>
  <c r="N184" i="1"/>
  <c r="P183" i="1"/>
  <c r="N183" i="1"/>
  <c r="P182" i="1"/>
  <c r="N182" i="1"/>
  <c r="P181" i="1"/>
  <c r="N181" i="1"/>
  <c r="P180" i="1"/>
  <c r="N180" i="1"/>
  <c r="P179" i="1"/>
  <c r="N179" i="1"/>
  <c r="P178" i="1"/>
  <c r="N178" i="1"/>
  <c r="P177" i="1"/>
  <c r="N177" i="1"/>
  <c r="P176" i="1"/>
  <c r="N176" i="1"/>
  <c r="P175" i="1"/>
  <c r="N175" i="1"/>
  <c r="P174" i="1"/>
  <c r="N174" i="1"/>
  <c r="P173" i="1"/>
  <c r="N173" i="1"/>
  <c r="P172" i="1"/>
  <c r="N172" i="1"/>
  <c r="P171" i="1"/>
  <c r="N171" i="1"/>
  <c r="P170" i="1"/>
  <c r="N170" i="1"/>
  <c r="P169" i="1"/>
  <c r="N169" i="1"/>
  <c r="P168" i="1"/>
  <c r="N168" i="1"/>
  <c r="P167" i="1"/>
  <c r="N167" i="1"/>
  <c r="P166" i="1"/>
  <c r="N166" i="1"/>
  <c r="P165" i="1"/>
  <c r="N165" i="1"/>
  <c r="P164" i="1"/>
  <c r="N164" i="1"/>
  <c r="P163" i="1"/>
  <c r="N163" i="1"/>
  <c r="P162" i="1"/>
  <c r="N162" i="1"/>
  <c r="P161" i="1"/>
  <c r="N161" i="1"/>
  <c r="P160" i="1"/>
  <c r="N160" i="1"/>
  <c r="P159" i="1"/>
  <c r="N159" i="1"/>
  <c r="P158" i="1"/>
  <c r="N158" i="1"/>
  <c r="P157" i="1"/>
  <c r="N157" i="1"/>
  <c r="P156" i="1"/>
  <c r="N156" i="1"/>
  <c r="P155" i="1"/>
  <c r="N155" i="1"/>
  <c r="P154" i="1"/>
  <c r="N154" i="1"/>
  <c r="P153" i="1"/>
  <c r="N153" i="1"/>
  <c r="P152" i="1"/>
  <c r="N152" i="1"/>
  <c r="P151" i="1"/>
  <c r="N151" i="1"/>
  <c r="P150" i="1"/>
  <c r="N150" i="1"/>
  <c r="P149" i="1"/>
  <c r="N149" i="1"/>
  <c r="P148" i="1"/>
  <c r="N148" i="1"/>
  <c r="P147" i="1"/>
  <c r="N147" i="1"/>
  <c r="P146" i="1"/>
  <c r="N146" i="1"/>
  <c r="P145" i="1"/>
  <c r="N145" i="1"/>
  <c r="P144" i="1"/>
  <c r="N144" i="1"/>
  <c r="P143" i="1"/>
  <c r="N143" i="1"/>
  <c r="P142" i="1"/>
  <c r="N142" i="1"/>
  <c r="P141" i="1"/>
  <c r="N141" i="1"/>
  <c r="P140" i="1"/>
  <c r="N140" i="1"/>
  <c r="P139" i="1"/>
  <c r="N139" i="1"/>
  <c r="P138" i="1"/>
  <c r="N138" i="1"/>
  <c r="P137" i="1"/>
  <c r="N137" i="1"/>
  <c r="P136" i="1"/>
  <c r="P135" i="1"/>
  <c r="N135" i="1"/>
  <c r="P134" i="1"/>
  <c r="N134" i="1"/>
  <c r="P133" i="1"/>
  <c r="N133" i="1"/>
  <c r="P132" i="1"/>
  <c r="N132" i="1"/>
  <c r="P131" i="1"/>
  <c r="N131" i="1"/>
  <c r="P130" i="1"/>
  <c r="N130" i="1"/>
  <c r="P129" i="1"/>
  <c r="N129" i="1"/>
  <c r="P128" i="1"/>
  <c r="N128" i="1"/>
  <c r="P127" i="1"/>
  <c r="N127" i="1"/>
  <c r="P126" i="1"/>
  <c r="N126" i="1"/>
  <c r="P125" i="1"/>
  <c r="N125" i="1"/>
  <c r="P124" i="1"/>
  <c r="N124" i="1"/>
  <c r="P123" i="1"/>
  <c r="N123" i="1"/>
  <c r="P122" i="1"/>
  <c r="N122" i="1"/>
  <c r="P121" i="1"/>
  <c r="N121" i="1"/>
  <c r="P120" i="1"/>
  <c r="N120" i="1"/>
  <c r="P119" i="1"/>
  <c r="N119" i="1"/>
  <c r="P118" i="1"/>
  <c r="N118" i="1"/>
  <c r="P117" i="1"/>
  <c r="N117" i="1"/>
  <c r="P116" i="1"/>
  <c r="N116" i="1"/>
  <c r="P115" i="1"/>
  <c r="N115" i="1"/>
  <c r="P114" i="1"/>
  <c r="N114" i="1"/>
  <c r="P113" i="1"/>
  <c r="N113" i="1"/>
  <c r="P112" i="1"/>
  <c r="N112" i="1"/>
  <c r="P111" i="1"/>
  <c r="N111" i="1"/>
  <c r="P110" i="1"/>
  <c r="N110" i="1"/>
  <c r="P109" i="1"/>
  <c r="N109" i="1"/>
  <c r="P108" i="1"/>
  <c r="N108" i="1"/>
  <c r="P107" i="1"/>
  <c r="N107" i="1"/>
  <c r="P106" i="1"/>
  <c r="N106" i="1"/>
  <c r="P105" i="1"/>
  <c r="N105" i="1"/>
  <c r="P104" i="1"/>
  <c r="N104" i="1"/>
  <c r="P103" i="1"/>
  <c r="N103" i="1"/>
  <c r="P102" i="1"/>
  <c r="N102" i="1"/>
  <c r="P101" i="1"/>
  <c r="N101" i="1"/>
  <c r="P100" i="1"/>
  <c r="N100" i="1"/>
  <c r="P99" i="1"/>
  <c r="N99" i="1"/>
  <c r="P98" i="1"/>
  <c r="N98" i="1"/>
  <c r="P97" i="1"/>
  <c r="N97" i="1"/>
  <c r="P96" i="1"/>
  <c r="N96" i="1"/>
  <c r="P95" i="1"/>
  <c r="N95" i="1"/>
  <c r="P94" i="1"/>
  <c r="N94" i="1"/>
  <c r="P93" i="1"/>
  <c r="N93" i="1"/>
  <c r="P92" i="1"/>
  <c r="N92" i="1"/>
  <c r="P91" i="1"/>
  <c r="N91" i="1"/>
  <c r="P90" i="1"/>
  <c r="N90" i="1"/>
  <c r="P89" i="1"/>
  <c r="N89" i="1"/>
  <c r="P88" i="1"/>
  <c r="N88" i="1"/>
  <c r="P87" i="1"/>
  <c r="N87" i="1"/>
  <c r="P86" i="1"/>
  <c r="N86" i="1"/>
  <c r="P85" i="1"/>
  <c r="N85" i="1"/>
  <c r="P84" i="1"/>
  <c r="N84" i="1"/>
  <c r="P83" i="1"/>
  <c r="N83" i="1"/>
  <c r="P82" i="1"/>
  <c r="N82" i="1"/>
  <c r="P81" i="1"/>
  <c r="N81" i="1"/>
  <c r="P80" i="1"/>
  <c r="N80" i="1"/>
  <c r="P79" i="1"/>
  <c r="N79" i="1"/>
  <c r="P78" i="1"/>
  <c r="N78" i="1"/>
  <c r="P77" i="1"/>
  <c r="N77" i="1"/>
  <c r="P76" i="1"/>
  <c r="N76" i="1"/>
  <c r="P75" i="1"/>
  <c r="N75" i="1"/>
  <c r="P74" i="1"/>
  <c r="N74" i="1"/>
  <c r="P73" i="1"/>
  <c r="N73" i="1"/>
  <c r="P72" i="1"/>
  <c r="N72" i="1"/>
  <c r="P71" i="1"/>
  <c r="N71" i="1"/>
  <c r="P70" i="1"/>
  <c r="N70" i="1"/>
  <c r="P69" i="1"/>
  <c r="N69" i="1"/>
  <c r="P68" i="1"/>
  <c r="N68" i="1"/>
  <c r="P67" i="1"/>
  <c r="N67" i="1"/>
  <c r="P66" i="1"/>
  <c r="N66" i="1"/>
  <c r="P65" i="1"/>
  <c r="N65" i="1"/>
  <c r="P64" i="1"/>
  <c r="N64" i="1"/>
  <c r="P63" i="1"/>
  <c r="N63" i="1"/>
  <c r="P62" i="1"/>
  <c r="N62" i="1"/>
  <c r="P61" i="1"/>
  <c r="N61" i="1"/>
  <c r="P60" i="1"/>
  <c r="N60" i="1"/>
  <c r="P59" i="1"/>
  <c r="N59" i="1"/>
  <c r="P58" i="1"/>
  <c r="N58" i="1"/>
  <c r="P57" i="1"/>
  <c r="N57" i="1"/>
  <c r="P56" i="1"/>
  <c r="N56" i="1"/>
  <c r="P55" i="1"/>
  <c r="N55" i="1"/>
  <c r="P54" i="1"/>
  <c r="N54" i="1"/>
  <c r="P53" i="1"/>
  <c r="N53" i="1"/>
  <c r="P52" i="1"/>
  <c r="N52" i="1"/>
  <c r="P51" i="1"/>
  <c r="N51" i="1"/>
  <c r="P50" i="1"/>
  <c r="N50" i="1"/>
  <c r="P49" i="1"/>
  <c r="N49" i="1"/>
  <c r="P48" i="1"/>
  <c r="N48" i="1"/>
  <c r="P47" i="1"/>
  <c r="N47" i="1"/>
  <c r="P46" i="1"/>
  <c r="N46" i="1"/>
  <c r="P45" i="1"/>
  <c r="N45" i="1"/>
  <c r="P44" i="1"/>
  <c r="N44" i="1"/>
  <c r="P43" i="1"/>
  <c r="N43" i="1"/>
  <c r="P42" i="1"/>
  <c r="N42" i="1"/>
  <c r="P41" i="1"/>
  <c r="P40" i="1"/>
  <c r="P39" i="1"/>
  <c r="N39" i="1"/>
  <c r="P38" i="1"/>
  <c r="N38" i="1"/>
  <c r="P37" i="1"/>
  <c r="P36" i="1"/>
  <c r="P35" i="1"/>
  <c r="N35" i="1"/>
  <c r="P34" i="1"/>
  <c r="N34" i="1"/>
  <c r="P33" i="1"/>
  <c r="N33" i="1"/>
  <c r="P32" i="1"/>
  <c r="N32" i="1"/>
  <c r="P31" i="1"/>
  <c r="N31" i="1"/>
  <c r="P30" i="1"/>
  <c r="N30" i="1"/>
  <c r="P29" i="1"/>
  <c r="N29" i="1"/>
  <c r="P28" i="1"/>
  <c r="N28" i="1"/>
  <c r="P27" i="1"/>
  <c r="N27" i="1"/>
  <c r="P26" i="1"/>
  <c r="N26" i="1"/>
  <c r="P25" i="1"/>
  <c r="N25" i="1"/>
  <c r="P24" i="1"/>
  <c r="N24" i="1"/>
  <c r="P23" i="1"/>
  <c r="N23" i="1"/>
  <c r="P22" i="1"/>
  <c r="N22" i="1"/>
  <c r="P21" i="1"/>
  <c r="N21" i="1"/>
  <c r="P20" i="1"/>
  <c r="P19" i="1"/>
  <c r="P18" i="1"/>
  <c r="N18" i="1"/>
  <c r="P17" i="1"/>
  <c r="N17" i="1"/>
  <c r="P16" i="1"/>
  <c r="P15" i="1"/>
  <c r="P14" i="1"/>
  <c r="P13" i="1"/>
  <c r="N13" i="1"/>
  <c r="P12" i="1"/>
  <c r="N12" i="1"/>
  <c r="P11" i="1"/>
  <c r="N11" i="1"/>
  <c r="P10" i="1"/>
  <c r="N10" i="1"/>
  <c r="P9" i="1"/>
  <c r="N9" i="1"/>
  <c r="P8" i="1"/>
  <c r="N8" i="1"/>
  <c r="P7" i="1"/>
  <c r="N7" i="1"/>
  <c r="P6" i="1"/>
  <c r="N6" i="1"/>
  <c r="P5" i="1"/>
  <c r="N5" i="1"/>
  <c r="P4" i="1"/>
  <c r="N4" i="1"/>
  <c r="P3" i="1"/>
  <c r="N3" i="1"/>
  <c r="P2" i="1"/>
  <c r="N2" i="1"/>
</calcChain>
</file>

<file path=xl/sharedStrings.xml><?xml version="1.0" encoding="utf-8"?>
<sst xmlns="http://schemas.openxmlformats.org/spreadsheetml/2006/main" count="2517" uniqueCount="1728">
  <si>
    <t>Authors</t>
  </si>
  <si>
    <t>Author Full Names</t>
  </si>
  <si>
    <t>Article Title</t>
  </si>
  <si>
    <t>Source Title</t>
  </si>
  <si>
    <t>Researcher Ids</t>
  </si>
  <si>
    <t>ORCIDs</t>
  </si>
  <si>
    <t>ISSN</t>
  </si>
  <si>
    <t>eISSN</t>
  </si>
  <si>
    <t>Publication Date</t>
  </si>
  <si>
    <t>Publication Year</t>
  </si>
  <si>
    <t>Volume</t>
  </si>
  <si>
    <t>Issue</t>
  </si>
  <si>
    <t>DOI</t>
  </si>
  <si>
    <t>DOI Link</t>
  </si>
  <si>
    <t>UT (Unique WOS ID)</t>
  </si>
  <si>
    <t>Web of Science Record</t>
  </si>
  <si>
    <t>Uysal, E; Dokur, M; Kucukdurmaz, F; Altinay, S; Polat, S; Batcioglu, K; Sezgin, E; Erçakalli, TS; Yaylali, A; Yilmaztekin, Y; Cetin, Z; Saygili, I; Barut, O; Kazimoglu, H; Maralcan, G; Koc, S; Guney, T; Eser, N; Sökücü, M; Dokur, SN</t>
  </si>
  <si>
    <t>Uysal, Erdal; Dokur, Mehmet; Kucukdurmaz, Faruk; Altinay, Serdar; Polat, Sait; Batcioglu, Kadir; Sezgin, Efe; Ercakalli, Tugce Sapmaz; Yaylali, Asli; Yilmaztekin, Yakup; Cetin, Zafer; Saygili, Ilker; Barut, Osman; Kazimoglu, Hatem; Maralcan, Gokturk; Koc, Suna; Guney, Turkan; Eser, Nadire; Sokucu, Mehmet; Dokur, Sema Nur</t>
  </si>
  <si>
    <t>Targeting the PANoptosome with 3,4-Methylenedioxy-β-Nitrostyrene, Reduces PANoptosis and Protects the Kidney against Renal Ischemia-Reperfusion Injury</t>
  </si>
  <si>
    <t>JOURNAL OF INVESTIGATIVE SURGERY</t>
  </si>
  <si>
    <t>Kazımoğlu, Hatem/JFK-9795-2023; kucukdurmaz, faruk/JDM-1245-2023; YAYLALI, ASLI/HKM-9657-2023; Sezgin, Efe/B-8418-2012</t>
  </si>
  <si>
    <t>Sezgin, Efe/0000-0002-8000-7485</t>
  </si>
  <si>
    <t>0894-1939</t>
  </si>
  <si>
    <t>1521-0553</t>
  </si>
  <si>
    <t>OCT 18</t>
  </si>
  <si>
    <t>11-12</t>
  </si>
  <si>
    <t>10.1080/08941939.2022.2128117</t>
  </si>
  <si>
    <t>WOS:000861278200001</t>
  </si>
  <si>
    <t>Aslan, EC; Inc, M</t>
  </si>
  <si>
    <t>Aslan, Ebru Cavlak; Inc, Mustafa</t>
  </si>
  <si>
    <t>Optical Solitons and Rogue wave solutions of NLSE with variables coefficients and modulation instability analysis</t>
  </si>
  <si>
    <t>COMPUTATIONAL METHODS FOR DIFFERENTIAL EQUATIONS</t>
  </si>
  <si>
    <t/>
  </si>
  <si>
    <t>2345-3982</t>
  </si>
  <si>
    <t>2383-2533</t>
  </si>
  <si>
    <t>10.22034/CMDE.2021.36045.1624</t>
  </si>
  <si>
    <t>WOS:001009603700005</t>
  </si>
  <si>
    <t>Ozisik, M; Secer, A; Bayram, M; Aydin, H</t>
  </si>
  <si>
    <t>Ozisik, Muslum; Secer, Aydin; Bayram, Mustafa; Aydin, Huseyin</t>
  </si>
  <si>
    <t>An encyclopedia of Kudryashov's integrability approaches applicable to optoelectronic devices</t>
  </si>
  <si>
    <t>OPTIK</t>
  </si>
  <si>
    <t>Bayram, Mustafa/AAA-4023-2020; Ozisik, Muslum/AFQ-8653-2022; Secer, Aydin/C-5913-2013</t>
  </si>
  <si>
    <t>Bayram, Mustafa/0000-0002-2994-7201; Ozisik, Muslum/0000-0001-6143-5380; Secer, Aydin/0000-0002-8372-2441</t>
  </si>
  <si>
    <t>0030-4026</t>
  </si>
  <si>
    <t>1618-1336</t>
  </si>
  <si>
    <t>SEP</t>
  </si>
  <si>
    <t>10.1016/j.ijleo.2022.169499</t>
  </si>
  <si>
    <t>WOS:000861769200005</t>
  </si>
  <si>
    <t>Rafiq, MN; Majeed, A; Inc, M; Kamran, M</t>
  </si>
  <si>
    <t>Rafiq, Muhammad Naveed; Majeed, Abdul; Inc, Mustafa; Kamran, Mohsin</t>
  </si>
  <si>
    <t>New traveling wave solutions for space-time fractional modified equal width equation with beta derivative</t>
  </si>
  <si>
    <t>PHYSICS LETTERS A</t>
  </si>
  <si>
    <t>Majeed, Abdul/JHT-0587-2023; Rafiq, Muhammad Naveed/JLM-5487-2023; Inc, Mustafa/C-4307-2018</t>
  </si>
  <si>
    <t>Inc, Mustafa/0000-0003-4996-8373</t>
  </si>
  <si>
    <t>0375-9601</t>
  </si>
  <si>
    <t>1873-2429</t>
  </si>
  <si>
    <t>SEP 15</t>
  </si>
  <si>
    <t>10.1016/j.physleta.2022.128281</t>
  </si>
  <si>
    <t>WOS:000969033700019</t>
  </si>
  <si>
    <t>Korkmaz, M; Kocyigit, E; Sahingoz, OK; Diri, B</t>
  </si>
  <si>
    <t>Korkmaz, Mehmet; Kocyigit, Emre; Sahingoz, Ozgur Koray; Diri, Banu</t>
  </si>
  <si>
    <t>A Hybrid Phishing Detection System Using Deep Learning-based URL and Content Analysis</t>
  </si>
  <si>
    <t>ELEKTRONIKA IR ELEKTROTECHNIKA</t>
  </si>
  <si>
    <t>korkmaz, mehmet/IZP-6007-2023</t>
  </si>
  <si>
    <t>korkmaz, mehmet/0000-0002-4046-3910</t>
  </si>
  <si>
    <t>1392-1215</t>
  </si>
  <si>
    <t>10.5755/j02.eie.31197</t>
  </si>
  <si>
    <t>WOS:000966385200007</t>
  </si>
  <si>
    <t>Özfiliz Kilbas, P; Alkurt, G; Obakan Yerlikaya, P; Çoker Gürkan, A; Dinler Doganay, G; Arisan, ED</t>
  </si>
  <si>
    <t>Ozfiliz Kilbas, Pelin; Alkurt, Gizem; Obakan Yerlikaya, Pinar; Coker Gurkan, Ajda; Dinler Doganay, Gizem; Arisan, Elif Damla</t>
  </si>
  <si>
    <t>The comparison of differentially expressed microRNAs in Bag-1 deficient and wild type MCF-7 breast cancer cells by small RNA sequencing</t>
  </si>
  <si>
    <t>TURKISH JOURNAL OF BIOLOGY</t>
  </si>
  <si>
    <t>OBAKAN YERLIKAYA, PINAR/AAG-5979-2019</t>
  </si>
  <si>
    <t>OBAKAN YERLIKAYA, PINAR/0000-0001-7058-955X</t>
  </si>
  <si>
    <t>1300-0152</t>
  </si>
  <si>
    <t>1303-6092</t>
  </si>
  <si>
    <t>10.55730/1300-0152.2580</t>
  </si>
  <si>
    <t>WOS:000783708700002</t>
  </si>
  <si>
    <t>Alshehri, HM; Alshehri, AM; Alshreef, AN; Kara, AH; Biswas, A; Yildirim, Y</t>
  </si>
  <si>
    <t>Alshehri, Hashim M.; Alshehri, Ahmed M.; Alshreef, Abdullah N.; Kara, Abdul H.; Biswas, Anjan; Yildirim, Yakup</t>
  </si>
  <si>
    <t>Conservation laws of optical solitons with quadrupled power-law of self-phase modulation</t>
  </si>
  <si>
    <t>Yildirim, Yakup/HTO-9875-2023; Alshehri, Ahmed/GQH-4823-2022</t>
  </si>
  <si>
    <t>Yildirim, Yakup/0000-0003-4443-3337; Alshehri, Ahmed/0000-0002-2161-4752; Kara, Abdul Hamid/0000-0002-0231-0198</t>
  </si>
  <si>
    <t>DEC</t>
  </si>
  <si>
    <t>10.1016/j.ijleo.2022.170132</t>
  </si>
  <si>
    <t>WOS:000944602600005</t>
  </si>
  <si>
    <t>Arefin, MA; Khatun, MA; Uddin, MH; Inc, M</t>
  </si>
  <si>
    <t>Arefin, Mohammad Asif; Khatun, M. Ayesha; Uddin, M. Hafiz; Inc, Mustafa</t>
  </si>
  <si>
    <t>Investigation of adequate closed form travelling wave solution to the space-time fractional non-linear evolution equations</t>
  </si>
  <si>
    <t>JOURNAL OF OCEAN ENGINEERING AND SCIENCE</t>
  </si>
  <si>
    <t>Arefin, Mohammad Asif/ABD-6238-2020</t>
  </si>
  <si>
    <t>Arefin, Mohammad Asif/0000-0002-2892-1683</t>
  </si>
  <si>
    <t>2468-0133</t>
  </si>
  <si>
    <t>JUN</t>
  </si>
  <si>
    <t>10.1016/j.joes.2021.08.011</t>
  </si>
  <si>
    <t>WOS:000929686200011</t>
  </si>
  <si>
    <t>Pehlivanoglu, YV; Bekmezci, I; Pehlivanoglu, P</t>
  </si>
  <si>
    <t>Pehlivanoglu, Y. Volkan; Bekmezci, Ilker; Pehlivanoglu, Perihan</t>
  </si>
  <si>
    <t>Efficient Strategy for Multi-UAV Path Planning in Target Coverage Problems</t>
  </si>
  <si>
    <t>2022 INTERNATIONAL CONFERENCE ON THEORETICAL AND APPLIED COMPUTER SCIENCE AND ENGINEERING (ICTASCE)</t>
  </si>
  <si>
    <t>10.1109/ICTACSE50438.2022.10009728</t>
  </si>
  <si>
    <t>WOS:000932842500019</t>
  </si>
  <si>
    <t>Türksayar, AAD; Bulut, AC; Atsü, SS</t>
  </si>
  <si>
    <t>Tuerksayar, Almira Ada Diken; Bulut, Ali Can; Atsu, Saadet Saglam</t>
  </si>
  <si>
    <t>Evaluation of the Effect of Different Abutment Materials on the Final Color of the Restoration After Aging: An In Vitro Study</t>
  </si>
  <si>
    <t>INTERNATIONAL JOURNAL OF PROSTHODONTICS</t>
  </si>
  <si>
    <t>DİKEN TÜRKSAYAR, ALMİRA ADA/AAG-7261-2021; Bulut, Ali Can/AAR-4106-2021</t>
  </si>
  <si>
    <t>DİKEN TÜRKSAYAR, ALMİRA ADA/0000-0003-3558-3202; Bulut, Ali Can/0000-0002-1586-7403</t>
  </si>
  <si>
    <t>0893-2174</t>
  </si>
  <si>
    <t>1942-4426</t>
  </si>
  <si>
    <t>SEP-OCT</t>
  </si>
  <si>
    <t>10.11607/ijp.7653</t>
  </si>
  <si>
    <t>WOS:000928215800014</t>
  </si>
  <si>
    <t>Islam, SMR; Kumar, D; Fendzi-Donfack, E; Inc, M</t>
  </si>
  <si>
    <t>Islam, S. M. Rayhanul; Kumar, D.; Fendzi-Donfack, E.; Inc, M.</t>
  </si>
  <si>
    <t>Impact of nonlinearity and wave dispersion parameters on the soliton pulses of the (2+1)-dimensional Kundu-Mukherjee-Naskar equation</t>
  </si>
  <si>
    <t>REVISTA MEXICANA DE FISICA</t>
  </si>
  <si>
    <t>Islam, S. M. R./J-9336-2017; Kumar, Dipankar/AAN-5740-2020</t>
  </si>
  <si>
    <t>Islam, S. M. R./0000-0002-6613-8016; Kumar, Dipankar/0000-0003-2949-166X</t>
  </si>
  <si>
    <t>0035-001X</t>
  </si>
  <si>
    <t>NOV-DEC</t>
  </si>
  <si>
    <t>10.31349/RevMexFis.68.061301</t>
  </si>
  <si>
    <t>WOS:000918296800009</t>
  </si>
  <si>
    <t>Sahin, M; Ünalan, F; Mutlu, I</t>
  </si>
  <si>
    <t>Sahin, Meryem; Unalan, Fatma; Mutlu, Ilven</t>
  </si>
  <si>
    <t>Corrosion, ion release, and surface hardness of Ti-6Al-4V and cobalt-chromium alloys produced by CAD-CAM milling and laser</t>
  </si>
  <si>
    <t>JOURNAL OF PROSTHETIC DENTISTRY</t>
  </si>
  <si>
    <t>şahin, meryem/GVU-2564-2022</t>
  </si>
  <si>
    <t>0022-3913</t>
  </si>
  <si>
    <t>1097-6841</t>
  </si>
  <si>
    <t>10.1016/j.prosdent.2022.06.011</t>
  </si>
  <si>
    <t>WOS:000918002000001</t>
  </si>
  <si>
    <t>González-Gaxiola, O; Biswas, A; Yildirim, Y; Alghamdi, AA</t>
  </si>
  <si>
    <t>Gonzalez-Gaxiola, Oswaldo; Biswas, Anjan; Yildirim, Yakup; Alghamdi, Abdulah A.</t>
  </si>
  <si>
    <t>Optical solitons to Sasa-Satsuma model in birefringent fibers by Laplace-Adomian decomposition method</t>
  </si>
  <si>
    <t>JOURNAL OF OPTOELECTRONICS AND ADVANCED MATERIALS</t>
  </si>
  <si>
    <t>Yildirim, Yakup/HTO-9875-2023; Alghamdi, Abdulah A/JGD-3897-2023</t>
  </si>
  <si>
    <t>Yildirim, Yakup/0000-0003-4443-3337; Alghamdi, Abdulah A/0000-0002-8636-1960</t>
  </si>
  <si>
    <t>1454-4164</t>
  </si>
  <si>
    <t>1841-7132</t>
  </si>
  <si>
    <t>WOS:000921594000006</t>
  </si>
  <si>
    <t>Zayed, EME; Alngar, MEM; Shohib, RMA; Biswas, A; Yildirim, Y; Alshehiri, HM; Belic, M</t>
  </si>
  <si>
    <t>Zayed, Elsayed M. E.; Alngar, Mohamed E. M.; Shohib, Reham M. A.; Biswas, Anjan; Yildirim, Yakup; Alshehiri, Hashim M.; Belic, Milivoj</t>
  </si>
  <si>
    <t>Cubic-quartic solitons in couplers with optical metamaterials having generalized Kudryashov's law of refractive index</t>
  </si>
  <si>
    <t>Yildirim, Yakup/HTO-9875-2023; Alngar, Mohamed E. M./HTR-3164-2023; Alngar, Mohamed/HOC-1876-2023; Shohib, Reham/IUM-3893-2023</t>
  </si>
  <si>
    <t>Yildirim, Yakup/0000-0003-4443-3337; Alngar, Mohamed E. M./0000-0002-5436-7268; Alngar, Mohamed/0000-0002-5436-7268; Shohib, Reham/0000-0001-8352-5491</t>
  </si>
  <si>
    <t>9-10</t>
  </si>
  <si>
    <t>WOS:000905311300005</t>
  </si>
  <si>
    <t>Adem, AR; Ntsime, BP; Biswas, A; Ekici, M; Yildirim, Y; Alshehri, HM</t>
  </si>
  <si>
    <t>Adem, Abdullahi Rashid; Ntsime, Basetsana Pauline; Biswas, Anjan; Ekici, Mehmet; Yildirim, Yakup; Alshehri, Hashim M.</t>
  </si>
  <si>
    <t>Implicit quiescent optical solitons with complex Ginzburg-Landau equation having nonlinear chromatic dispersion</t>
  </si>
  <si>
    <t>Yildirim, Yakup/HTO-9875-2023; Adem, Abdullahi Rashid/AAL-8907-2020</t>
  </si>
  <si>
    <t>Yildirim, Yakup/0000-0003-4443-3337;</t>
  </si>
  <si>
    <t>WOS:000905311300006</t>
  </si>
  <si>
    <t>Onur, H; Tülek, A; Aslan, ES; Binay, B; Yildirim, D</t>
  </si>
  <si>
    <t>Onur, Hakan; Tulek, Ahmet; Aslan, Elif Sibel; Binay, Baris; Yildirim, Deniz</t>
  </si>
  <si>
    <t>A new highly enantioselective stable epoxide hydrolase from Hypsibius dujardini: Expression in Pichia pastoris and immobilization in ZIF-8 for asymmetric hydrolysis of racemic styrene oxide</t>
  </si>
  <si>
    <t>BIOCHEMICAL ENGINEERING JOURNAL</t>
  </si>
  <si>
    <t>Tülek, Ahmet/S-8916-2018; Yildirim, Deniz/C-2929-2018; Tülek, Ahmet/ITV-5371-2023</t>
  </si>
  <si>
    <t>Tülek, Ahmet/0000-0003-1079-7837; Yildirim, Deniz/0000-0002-5041-8160; Tülek, Ahmet/0000-0003-1079-7837; ONUR, HAKAN/0000-0001-9024-2043</t>
  </si>
  <si>
    <t>1369-703X</t>
  </si>
  <si>
    <t>1873-295X</t>
  </si>
  <si>
    <t>DEC 31</t>
  </si>
  <si>
    <t>10.1016/j.bej.2022.108726</t>
  </si>
  <si>
    <t>WOS:000898621500006</t>
  </si>
  <si>
    <t>Kudryashov, NA; Biswas, A; Kara, AH; Yildirim, Y</t>
  </si>
  <si>
    <t>Kudryashov, Nikolai A.; Biswas, Anjan; Kara, Abdul H.; Yildirim, Yakup</t>
  </si>
  <si>
    <t>Cubic-quartic optical solitons and conservation laws having cubic-quintic-septic-nonic self-phase modulation</t>
  </si>
  <si>
    <t>Yildirim, Yakup/HTO-9875-2023; Kudryashov, Nikolay A/AAL-5633-2020</t>
  </si>
  <si>
    <t>Yildirim, Yakup/0000-0003-4443-3337; Kudryashov, Nikolay A/0000-0001-5926-9715; Kara, Abdul Hamid/0000-0002-0231-0198</t>
  </si>
  <si>
    <t>NOV</t>
  </si>
  <si>
    <t>10.1016/j.ijleo.2022.169834</t>
  </si>
  <si>
    <t>WOS:000901439200005</t>
  </si>
  <si>
    <t>Zayed, EME; Shohib, RMA; Alngar, MEM; Biswas, A; Yidirim, Y; Dakova, A; Alshehri, HM</t>
  </si>
  <si>
    <t>Zayed, Elsayed M. E.; Shohib, Reham M. A.; Alngar, Mohamed E. M.; Biswas, Anjan; Yidirim, Yakup; Dakova, Anelia; Alshehri, Hashim M.</t>
  </si>
  <si>
    <t>Cubic-quartic optical solitons in fiber Bragg gratings with Fokas-Lenells equation and two algorithms</t>
  </si>
  <si>
    <t>OPTOELECTRONICS AND ADVANCED MATERIALS-RAPID COMMUNICATIONS</t>
  </si>
  <si>
    <t>Yildirim, Yakup/HTO-9875-2023; Shohib, Reham/IUM-3893-2023; Alngar, Mohamed/HOC-1876-2023; Alngar, Mohamed E. M./HTR-3164-2023</t>
  </si>
  <si>
    <t>Yildirim, Yakup/0000-0003-4443-3337; Shohib, Reham/0000-0001-8352-5491; Alngar, Mohamed/0000-0002-5436-7268; Alngar, Mohamed E. M./0000-0002-5436-7268</t>
  </si>
  <si>
    <t>1842-6573</t>
  </si>
  <si>
    <t>2065-3824</t>
  </si>
  <si>
    <t>WOS:000897978500008</t>
  </si>
  <si>
    <t>Biswas, A; Kara, AH; Yidirim, Y; Alshehri, HM</t>
  </si>
  <si>
    <t>Biswas, Anjan; Kara, Abdul H.; Yidirim, Yakup; Alshehri, Hashim M.</t>
  </si>
  <si>
    <t>Conservation laws for cubic-quartic optical solitons with Fokas-Lenells equation having maximum intensity</t>
  </si>
  <si>
    <t>Yildirim, Yakup/HTO-9875-2023</t>
  </si>
  <si>
    <t>Yildirim, Yakup/0000-0003-4443-3337</t>
  </si>
  <si>
    <t>WOS:000897978500009</t>
  </si>
  <si>
    <t>Ozisik, M; Secer, A; Bayram, M; Yusuf, A; Sulaiman, TA</t>
  </si>
  <si>
    <t>Ozisik, Muslum; Secer, Aydin; Bayram, Mustafa; Yusuf, Abdullahi; Sulaiman, Tukurf Abdulkadir</t>
  </si>
  <si>
    <t>Soliton solutions of the Boussinesq equation via an efficient analytical technique</t>
  </si>
  <si>
    <t>MODERN PHYSICS LETTERS B</t>
  </si>
  <si>
    <t>Ozisik, Muslum/AFQ-8653-2022; Secer, Aydin/C-5913-2013; SULAIMAN, TUKUR ABDULKADIR/GSD-2604-2022; Bayram, Mustafa/AAA-4023-2020</t>
  </si>
  <si>
    <t>Ozisik, Muslum/0000-0001-6143-5380; Secer, Aydin/0000-0002-8372-2441; Bayram, Mustafa/0000-0002-2994-7201</t>
  </si>
  <si>
    <t>0217-9849</t>
  </si>
  <si>
    <t>1793-6640</t>
  </si>
  <si>
    <t>OCT 10</t>
  </si>
  <si>
    <t>28N29</t>
  </si>
  <si>
    <t>10.1142/S0217984922501494</t>
  </si>
  <si>
    <t>WOS:000898143900007</t>
  </si>
  <si>
    <t>Coskun, A; Yegen, C; Arbak, S; Attaallah, W; Gunal, O; Elmas, MA; Ucal, Y; Can, O; Bas, B; Yildirim, Z; Seckin, I; Demirci, S; Serteser, M; Ozpinar, A; Belce, A; Basdemir, G; Moldur, DE; Derelioglu, EI; Yozgatli, TK; Erdemgil, Y; Unsal, I</t>
  </si>
  <si>
    <t>Coskun, Abdurrahman; Yegen, Cumhur; Arbak, Serap; Attaallah, Wafi; Gunal, Omer; Elmas, Merve Acikel; Ucal, Yasemin; Can, Ozge; Bas, Banu; Yildirim, Zeynep; Seckin, Ismail; Demirci, Sibel; Serteser, Mustafa; Ozpinar, Aysel; Belce, Ahmet; Basdemir, Gulcin; Moldur, Derya Emel; Derelioglu, Ecenur Izzete; Yozgatli, Tahir Koray; Erdemgil, Yigit; Unsal, Ibrahim</t>
  </si>
  <si>
    <t>Melatonin in preservation solutions prevents ischemic injury in rat kidneys</t>
  </si>
  <si>
    <t>PLOS ONE</t>
  </si>
  <si>
    <t>Serteser, Mustafa/F-9130-2015; Coskun, Abdurrahman/C-3906-2015; Moldur, Derya Emel/HDL-9660-2022; Ozpinar, Aysel/D-5150-2016; Ucal, Yasemin/W-7938-2018</t>
  </si>
  <si>
    <t>Serteser, Mustafa/0000-0001-7868-7613; Coskun, Abdurrahman/0000-0002-1273-0604; Moldur, Derya Emel/0000-0002-6826-5027; Ozpinar, Aysel/0000-0002-7399-4929; Ucal, Yasemin/0000-0001-9961-0711</t>
  </si>
  <si>
    <t>1932-6203</t>
  </si>
  <si>
    <t>AUG 31</t>
  </si>
  <si>
    <t>10.1371/journal.pone.0273921</t>
  </si>
  <si>
    <t>WOS:000892368200080</t>
  </si>
  <si>
    <t>Fatema, K; Islam, ME; Akhter, M; Akbar, MA; Inc, M</t>
  </si>
  <si>
    <t>Fatema, Kaniz; Islam, Md. Ekramul; Akhter, Mousumi; Akbar, M. Ali; Inc, Mustafa</t>
  </si>
  <si>
    <t>Transcendental surface wave to the symmetric regularized long-wave equation</t>
  </si>
  <si>
    <t>Inc, Mustafa/C-4307-2018</t>
  </si>
  <si>
    <t>Inc, Mustafa/0000-0003-4996-8373; Islam, PhD, Dr. Md. Ekramul/0000-0002-8814-7474</t>
  </si>
  <si>
    <t>JUL 6</t>
  </si>
  <si>
    <t>10.1016/j.physleta.2022.128123</t>
  </si>
  <si>
    <t>WOS:000895913500001</t>
  </si>
  <si>
    <t>Ozdemir, N; Secer, A; Ozisik, M; Bayram, M</t>
  </si>
  <si>
    <t>Ozdemir, Neslihan; Secer, Aydin; Ozisik, Muslum; Bayram, Mustafa</t>
  </si>
  <si>
    <t>Two Analytical Schemes for the Optical Soliton Solution of the (2</t>
  </si>
  <si>
    <t>UNIVERSE</t>
  </si>
  <si>
    <t>Ozisik, Muslum/AFQ-8653-2022; Bayram, Mustafa/AAA-4023-2020; Secer, Aydin/C-5913-2013; Ozdemir, Neslihan/GZN-2279-2022</t>
  </si>
  <si>
    <t>Ozisik, Muslum/0000-0001-6143-5380; Bayram, Mustafa/0000-0002-2994-7201; Secer, Aydin/0000-0002-8372-2441; Ozdemir, Neslihan/0000-0003-1649-0625</t>
  </si>
  <si>
    <t>2218-1997</t>
  </si>
  <si>
    <t>10.3390/universe8110584</t>
  </si>
  <si>
    <t>WOS:000896012100001</t>
  </si>
  <si>
    <t>Luo, XK; Nadeem, M; Inc, M; Dawood, S</t>
  </si>
  <si>
    <t>Luo, Xiankang; Nadeem, Muhammad; Inc, Mustafa; Dawood, Suliman</t>
  </si>
  <si>
    <t>Fractional Complex Transform and Homotopy Perturbation Method for the Approximate Solution of Keller-Segel Model</t>
  </si>
  <si>
    <t>JOURNAL OF FUNCTION SPACES</t>
  </si>
  <si>
    <t>; Inc, Mustafa/C-4307-2018</t>
  </si>
  <si>
    <t>Nadeem, Muhammad/0000-0002-9349-4729; Inc, Mustafa/0000-0003-4996-8373</t>
  </si>
  <si>
    <t>2314-8896</t>
  </si>
  <si>
    <t>2314-8888</t>
  </si>
  <si>
    <t>JUL 25</t>
  </si>
  <si>
    <t>10.1155/2022/9637098</t>
  </si>
  <si>
    <t>WOS:000863163800011</t>
  </si>
  <si>
    <t>Wang, MY; Biswas, A; Yildirim, Y; Alshehri, HM; Moraru, L; Moldovanu, S</t>
  </si>
  <si>
    <t>Wang, Ming-Yue; Biswas, Anjan; Yildirim, Yakup; Alshehri, Hashim M. M.; Moraru, Luminita; Moldovanu, Simona</t>
  </si>
  <si>
    <t>Optical Solitons in Fiber Bragg Gratings with Dispersive Reflectivity Having Five Nonlinear Forms of Refractive Index</t>
  </si>
  <si>
    <t>AXIOMS</t>
  </si>
  <si>
    <t>YILDIRIM, Yakup/IAQ-4611-2023; Wang, Ming-Yu e/GSD-5460-2022; Yildirim, Yakup/HTO-9875-2023; Moraru, Luminita/A-8532-2012</t>
  </si>
  <si>
    <t>YILDIRIM, Yakup/0000-0001-5319-5487; Wang, Ming-Yu e/0000-0002-2108-1159; Yildirim, Yakup/0000-0003-4443-3337; Moraru, Luminita/0000-0002-9121-5714; Moldovanu, Simona/0000-0002-5934-329X</t>
  </si>
  <si>
    <t>2075-1680</t>
  </si>
  <si>
    <t>10.3390/axioms11110640</t>
  </si>
  <si>
    <t>WOS:000894802700001</t>
  </si>
  <si>
    <t>Burukçu, D; Yilmaz, S; Alagöz, O; Yaltirik, CK; Attar, NE; Sahin, F; Çoban, EA</t>
  </si>
  <si>
    <t>Burukcu, Derya; Yilmaz, Sema; Alagoz, Oya; Yaltirik, Cumhur Kaan; Attar, Necip Erkut; Sahin, Fikrettin; Coban, Esra Aydemir</t>
  </si>
  <si>
    <t>The investigation of diverse physiological and therapeutic impact of cellular- based products derived from human cumulus cells</t>
  </si>
  <si>
    <t>Sahin, Fikrettin/0000-0003-1503-5567</t>
  </si>
  <si>
    <t>10.55730/1300-0152.2626</t>
  </si>
  <si>
    <t>WOS:000888973000005</t>
  </si>
  <si>
    <t>Sarigul, E; Zaim, M; Senel, M; Sagir, T; Isik, S</t>
  </si>
  <si>
    <t>Sarigul, Ender; Zaim, Merve; Senel, Mehmet; Sagir, Tugba; Isik, Sevim</t>
  </si>
  <si>
    <t>Polyamidoamine Dendron-Bearing Lipids as Drug-Delivery Excipients</t>
  </si>
  <si>
    <t>MOLECULES</t>
  </si>
  <si>
    <t>Senel, Mehmet/V-2463-2018; zaim, merve/AAJ-6984-2020</t>
  </si>
  <si>
    <t>Senel, Mehmet/0000-0001-7366-4746; Zaim, Merve/0000-0002-4717-8370</t>
  </si>
  <si>
    <t>1420-3049</t>
  </si>
  <si>
    <t>10.3390/molecules27227817</t>
  </si>
  <si>
    <t>WOS:000887401600001</t>
  </si>
  <si>
    <t>Ghazanfar, S; Ahmed, N; Iqbal, MS; Akgül, A; Bayram, M; De la Sen, M</t>
  </si>
  <si>
    <t>Ghazanfar, Sidra; Ahmed, Nauman; Iqbal, Muhammad Sajid; Akgul, Ali; Bayram, Mustafa; De la Sen, Manuel</t>
  </si>
  <si>
    <t>Imaging Ultrasound Propagation Using the Westervelt Equation by the Generalized Kudryashov and Modified Kudryashov Methods</t>
  </si>
  <si>
    <t>APPLIED SCIENCES-BASEL</t>
  </si>
  <si>
    <t>de la Sen, manuel/A-8803-2008; Bayram, Mustafa/AAA-4023-2020; Ahmed, Nauman/AEA-3375-2022; Akgül, Ali/F-3909-2019</t>
  </si>
  <si>
    <t>de la Sen, manuel/0000-0001-9320-9433; Bayram, Mustafa/0000-0002-2994-7201; Akgül, Ali/0000-0001-9832-1424; Ahmed, Nauman/0000-0003-1742-585X</t>
  </si>
  <si>
    <t>2076-3417</t>
  </si>
  <si>
    <t>10.3390/app122211813</t>
  </si>
  <si>
    <t>WOS:000887037200001</t>
  </si>
  <si>
    <t>Arnous, AH; Biswas, A; Yildirim, Y; Moraru, L; Moldovanu, S; Moshokoa, SP</t>
  </si>
  <si>
    <t>Arnous, Ahmed H.; Biswas, Anjan; Yildirim, Yakup; Moraru, Luminita; Moldovanu, Simona; Moshokoa, Seithuti P.</t>
  </si>
  <si>
    <t>Quiescent Optical Solitons with Cubic-Quartic and Generalized Cubic-Quartic Nonlinearity</t>
  </si>
  <si>
    <t>ELECTRONICS</t>
  </si>
  <si>
    <t>Moraru, Luminita/A-8532-2012; Yildirim, Yakup/HTO-9875-2023</t>
  </si>
  <si>
    <t>Moraru, Luminita/0000-0002-9121-5714; Yildirim, Yakup/0000-0003-4443-3337; Moshokoa, Seithuti/0000-0002-6366-2728; Moldovanu, Simona/0000-0002-5934-329X</t>
  </si>
  <si>
    <t>2079-9292</t>
  </si>
  <si>
    <t>10.3390/electronics11223653</t>
  </si>
  <si>
    <t>WOS:000887112100001</t>
  </si>
  <si>
    <t>Tariq, KU; Inc, M; Javed, R</t>
  </si>
  <si>
    <t>Tariq, K. U.; Inc, M.; Javed, R.</t>
  </si>
  <si>
    <t>On some novel solitons solutions to the generalized (3+1)-dimensional Boiti-Leon-Manna-Pempinelli model using two different approaches</t>
  </si>
  <si>
    <t>Tariq, Kalim U./G-9568-2016</t>
  </si>
  <si>
    <t>Tariq, Kalim U./0000-0003-0300-6515</t>
  </si>
  <si>
    <t>10.31349/RevMexFis.68.051403</t>
  </si>
  <si>
    <t>WOS:000884454600006</t>
  </si>
  <si>
    <t>Malik, S; Kumar, S; Biswas, A; Yildirim, Y; Moraru, L; Moldovanu, S; Iticescu, C; Alshehri, HM</t>
  </si>
  <si>
    <t>Malik, Sandeep; Kumar, Sachin; Biswas, Anjan; Yildirim, Yakup; Moraru, Luminita; Moldovanu, Simona; Iticescu, Catalina; Alshehri, Hashim M.</t>
  </si>
  <si>
    <t>Cubic-Quartic Optical Solitons in Fiber Bragg Gratings with Dispersive Reflectivity Having Parabolic Law of Nonlinear Refractive Index by Lie Symmetry</t>
  </si>
  <si>
    <t>SYMMETRY-BASEL</t>
  </si>
  <si>
    <t>malik, sandeep/AAQ-7820-2021; Moraru, Luminita/A-8532-2012; KUMAR, SACHIN/JFK-1200-2023; Iticescu, Catalina/I-2529-2019; Yildirim, Yakup/HTO-9875-2023; Iticescu, Catalina/ITU-6856-2023; Kumar, Sachin/ABX-4974-2022</t>
  </si>
  <si>
    <t>malik, sandeep/0000-0003-1236-2941; Moraru, Luminita/0000-0002-9121-5714; KUMAR, SACHIN/0000-0002-0697-6421; Yildirim, Yakup/0000-0003-4443-3337; Iticescu, Catalina/0000-0001-8350-9424; Kumar, Sachin/0000-0001-6883-7788; Moldovanu, Simona/0000-0002-5934-329X</t>
  </si>
  <si>
    <t>2073-8994</t>
  </si>
  <si>
    <t>10.3390/sym14112370</t>
  </si>
  <si>
    <t>WOS:000883981400001</t>
  </si>
  <si>
    <t>Aleem, M; Inc, M; Sarwar, S; Asjad, MI; Alsubaie, ASA</t>
  </si>
  <si>
    <t>Aleem, Maryam; Inc, Mustafa; Sarwar, Shahzad; Asjad, Muhammad Imran; Alsubaie, A. S. A.</t>
  </si>
  <si>
    <t>Analysis of fractional MHD convective flow with CTNs' nanoparticles and radiative heat flux in human blood</t>
  </si>
  <si>
    <t>FRONTIERS IN ENERGY RESEARCH</t>
  </si>
  <si>
    <t>Sarwar, Shahzad/D-4730-2015</t>
  </si>
  <si>
    <t>Sarwar, Shahzad/0000-0002-7310-8587</t>
  </si>
  <si>
    <t>2296-598X</t>
  </si>
  <si>
    <t>SEP 2</t>
  </si>
  <si>
    <t>10.3389/fenrg.2022.962086</t>
  </si>
  <si>
    <t>WOS:000883614700001</t>
  </si>
  <si>
    <t>Samir, I; Arnous, AH; Yildirim, Y; Biswas, A; Moraru, L; Moldovanu, S</t>
  </si>
  <si>
    <t>Samir, Islam; Arnous, Ahmed H.; Yildirim, Yakup; Biswas, Anjan; Moraru, Luminita; Moldovanu, Simona</t>
  </si>
  <si>
    <t>Optical Solitons with Cubic-Quintic-Septic-Nonic Nonlinearities and Quadrupled Power-Law Nonlinearity: An Observation</t>
  </si>
  <si>
    <t>MATHEMATICS</t>
  </si>
  <si>
    <t>Yildirim, Yakup/HTO-9875-2023; Moraru, Luminita/A-8532-2012</t>
  </si>
  <si>
    <t>Yildirim, Yakup/0000-0003-4443-3337; Moraru, Luminita/0000-0002-9121-5714; Moldovanu, Simona/0000-0002-5934-329X</t>
  </si>
  <si>
    <t>2227-7390</t>
  </si>
  <si>
    <t>10.3390/math10214085</t>
  </si>
  <si>
    <t>WOS:000883459400001</t>
  </si>
  <si>
    <t>Yao, SW; Ahmad, M; Inc, M; Ahmad, I; Asjad, MI; Nazar, M</t>
  </si>
  <si>
    <t>Yao, Shao-Wen; Ahmad, Mushtaq; Inc, Mustafa; Ahmad, Ikhlaq; Asjad, Muhammad Imran; Nazar, Mudassar</t>
  </si>
  <si>
    <t>Suction effect on MHD flow of Brinkman-type fluid with heat absorption and first-order chemical reaction</t>
  </si>
  <si>
    <t>Nazar, Mudassar/JAO-0888-2023</t>
  </si>
  <si>
    <t>AUG 25</t>
  </si>
  <si>
    <t>10.3389/fenrg.2022.963583</t>
  </si>
  <si>
    <t>WOS:000883130100001</t>
  </si>
  <si>
    <t>Dan, J; Garai, S; Ghose-Choudhury, A; Biswas, A; Yildirim, Y; Alshehri, HM</t>
  </si>
  <si>
    <t>Dan, Jayita; Garai, Sudip; Ghose-Choudhury, A.; Biswas, Anjan; Yildirim, Yakup; Alshehri, Hashim M.</t>
  </si>
  <si>
    <t>Optical solitons with generalized quadratic-cubic nonlinearity</t>
  </si>
  <si>
    <t>WOS:000880187100013</t>
  </si>
  <si>
    <t>Tarla, S; Ali, KK; Yusuf, A; Yilmazer, R; Alquran, M</t>
  </si>
  <si>
    <t>Tarla, Sibel; Ali, Karmina K.; Yusuf, Abdullahi; Yilmazer, Resat; Alquran, Marwan</t>
  </si>
  <si>
    <t>NEW EXPLICIT WAVE PROFILES OF KUNDU-MUKHERJEE-NASKAR EQUATION THROUGH JACOBI ELLIPTIC FUNCTION EXPANSION METHOD</t>
  </si>
  <si>
    <t>ROMANIAN REPORTS IN PHYSICS</t>
  </si>
  <si>
    <t>Alquran, Marwan/IUP-3798-2023; Yusuf, Abdullahi/L-9956-2018</t>
  </si>
  <si>
    <t>Alquran, Marwan/0000-0003-3901-9270; Yusuf, Abdullahi/0000-0002-8308-7943</t>
  </si>
  <si>
    <t>1221-1451</t>
  </si>
  <si>
    <t>1841-8759</t>
  </si>
  <si>
    <t>WOS:000884295200002</t>
  </si>
  <si>
    <t>Sagir, T; Huysal, M; Senel, M; Isik, S; Burgucu, N; Tabakoglu, O; Zaim, M</t>
  </si>
  <si>
    <t>Sagir, T.; Huysal, M.; Senel, M.; Isik, S.; Burgucu, N.; Tabakoglu, O.; Zaim, M.</t>
  </si>
  <si>
    <t>Folic acid conjugated PAMAM-modified mesoporous silica-coated superparamagnetic iron oxide nanoparticles for potential cancer therapy</t>
  </si>
  <si>
    <t>JOURNAL OF COLLOID AND INTERFACE SCIENCE</t>
  </si>
  <si>
    <t>zaim, merve/AAJ-6984-2020; Senel, Mehmet/V-2463-2018</t>
  </si>
  <si>
    <t>0021-9797</t>
  </si>
  <si>
    <t>1095-7103</t>
  </si>
  <si>
    <t>10.1016/j.jcis.2022.06.069</t>
  </si>
  <si>
    <t>WOS:000881237800010</t>
  </si>
  <si>
    <t>Mansouri, F; Aouadi, S; Triki, H; Sun, YZ; Yildirim, Y; Biswas, A; Alshehri, HM; Zhou, Q</t>
  </si>
  <si>
    <t>Mansouri, Faissal; Aouadi, Sassi; Triki, Houria; Sun, Yunzhou; Yildirim, Yakup; Biswas, Anjan; Alshehri, Hashim M.; Zhou, Qin</t>
  </si>
  <si>
    <t>Chirped localized pulses in a highly nonlinear optical fiber with quintic non-Kerr nonlinearities</t>
  </si>
  <si>
    <t>RESULTS IN PHYSICS</t>
  </si>
  <si>
    <t>Yildirim, Yakup/HTO-9875-2023; Zhou, Qin/B-2296-2012</t>
  </si>
  <si>
    <t>Yildirim, Yakup/0000-0003-4443-3337; Zhou, Qin/0000-0001-5334-7188</t>
  </si>
  <si>
    <t>2211-3797</t>
  </si>
  <si>
    <t>10.1016/j.rinp.2022.106040</t>
  </si>
  <si>
    <t>WOS:000879537000004</t>
  </si>
  <si>
    <t>González-Gaxiola, O; Biswas, A; Yildirim, Y; Alshehri, HM</t>
  </si>
  <si>
    <t>Gonzalez-Gaxiola, O.; Biswas, Anjan; Yildirim, Yakup; Alshehri, Hashim M.</t>
  </si>
  <si>
    <t>Numerical simulation of cubic-quartic optical soliton perturbation with Lakshmanan-Porsezian-Daniel model by Laplace-Adomian decomposition</t>
  </si>
  <si>
    <t>JUL-AUG</t>
  </si>
  <si>
    <t>7-8</t>
  </si>
  <si>
    <t>WOS:000880171800008</t>
  </si>
  <si>
    <t>Yildirim, Y; Biswas, A; Alshehri, HM; Belic, MR</t>
  </si>
  <si>
    <t>Yildirim, Yakup; Biswas, Anjan; Alshehri, Hashim M.; Belic, Milivoj R.</t>
  </si>
  <si>
    <t>Cubic-quartic optical soliton perturbation with Chen-Lee-Liu equation by sine-Gordon equation approach</t>
  </si>
  <si>
    <t>Belic, Milivoj R/R-2771-2019; Yildirim, Yakup/HTO-9875-2023</t>
  </si>
  <si>
    <t>Belic, Milivoj R/0000-0002-2622-6425; Yildirim, Yakup/0000-0003-4443-3337</t>
  </si>
  <si>
    <t>WOS:000880171800009</t>
  </si>
  <si>
    <t>Dehane, R; Naima, K; Liazid, A; Inc, M; Benarous, A; Ahmad, H; Menni, Y</t>
  </si>
  <si>
    <t>Dehane, Rabie; Naima, Khatir; Liazid, Abdelkrim; Inc, Mustafa; Benarous, Abdallah; Ahmad, Hijaz; Menni, Younes</t>
  </si>
  <si>
    <t>Impact of the convergent geometric profile on boundary layer separation in the supersonic over-expanded nozzle</t>
  </si>
  <si>
    <t>OPEN PHYSICS</t>
  </si>
  <si>
    <t>Menni, Younes/IST-9002-2023; Ahmad, Hijaz/H-5958-2018</t>
  </si>
  <si>
    <t>Menni, Younes/0000-0003-1475-3743; Ahmad, Hijaz/0000-0002-5438-5407</t>
  </si>
  <si>
    <t>2391-5471</t>
  </si>
  <si>
    <t>NOV 2</t>
  </si>
  <si>
    <t>10.1515/phys-2022-0185</t>
  </si>
  <si>
    <t>WOS:000877958100001</t>
  </si>
  <si>
    <t>Altun, S; Ozisik, M; Secer, A; Bayram, M</t>
  </si>
  <si>
    <t>Altun, Selvi; Ozisik, Muslum; Secer, Aydin; Bayram, Mustafa</t>
  </si>
  <si>
    <t>Optical solitons for Biswas-Milovic equation using the new Kudryashov's scheme</t>
  </si>
  <si>
    <t>Bayram, Mustafa/AAA-4023-2020; Secer, Aydin/C-5913-2013; Ozisik, Muslum/AFQ-8653-2022</t>
  </si>
  <si>
    <t>Bayram, Mustafa/0000-0002-2994-7201; Secer, Aydin/0000-0002-8372-2441; Ozisik, Muslum/0000-0001-6143-5380</t>
  </si>
  <si>
    <t>10.1016/j.ijleo.2022.170045</t>
  </si>
  <si>
    <t>WOS:000878190900001</t>
  </si>
  <si>
    <t>Wang, MY; Biswas, A; Yildirim, Y; Alshehri, HM</t>
  </si>
  <si>
    <t>Wang, Ming-Yue; Biswas, Anjan; Yildirim, Yakup; Alshehri, Hashim M.</t>
  </si>
  <si>
    <t>Dispersive solitons in magneto-optic waveguides with Kudryashov's form of self-phase modulation</t>
  </si>
  <si>
    <t>Yildirim, Yakup/HTO-9875-2023; Wang, Ming-Yu e/GSD-5460-2022</t>
  </si>
  <si>
    <t>Yildirim, Yakup/0000-0003-4443-3337; Wang, Ming-Yu e/0000-0002-2108-1159</t>
  </si>
  <si>
    <t>10.1016/j.ijleo.2022.169860</t>
  </si>
  <si>
    <t>WOS:000877429900005</t>
  </si>
  <si>
    <t>Bayram, M</t>
  </si>
  <si>
    <t>Bayram, Mustafa</t>
  </si>
  <si>
    <t>Optical bullets with Biswas-Milovic equation having Kerr and parabolic laws of nonlinearity</t>
  </si>
  <si>
    <t>Bayram, Mustafa/AAA-4023-2020</t>
  </si>
  <si>
    <t>Bayram, Mustafa/0000-0002-2994-7201</t>
  </si>
  <si>
    <t>10.1016/j.ijleo.2022.170046</t>
  </si>
  <si>
    <t>WOS:000875639300009</t>
  </si>
  <si>
    <t>Güvendi, M; Can, H; Köseoglu, AE; Alak, SE; Kandemir, Ç; Taskin, T; Sürgeç, E; Demir, S; Döskaya, AD; Karakavuk, M; Gül, A; Döskaya, M; Gürüz, AY; Ün, C</t>
  </si>
  <si>
    <t>Guvendi, Mervenur; Can, Huseyin; Koseoglu, Ahmet Efe; Alak, Sedef Erkunt; Kandemir, Cagri; Taskin, Turgay; Surgec, Ecem; Demir, Samiye; Doskaya, Aysu Degirmenci; Karakavuk, Muhammet; Gul, Aytul; Doskaya, Mert; Guruz, Adnan Yuksel; Un, Cemal</t>
  </si>
  <si>
    <t>Investigation of the genetic diversity and flea-borne pathogens in Ctenocephalides felis samples collected from goats in ?Izmir and S , anl?urfa provinces of Turkey</t>
  </si>
  <si>
    <t>COMPARATIVE IMMUNOLOGY MICROBIOLOGY AND INFECTIOUS DISEASES</t>
  </si>
  <si>
    <t>GUL, AYTUL/IAN-1126-2023; Demir, Samiye/C-1531-2014; karakavuk, muhammet/ABC-8038-2020</t>
  </si>
  <si>
    <t>GUL, AYTUL/0000-0002-0594-5295; karakavuk, muhammet/0000-0002-2468-5564; Can, Huseyin/0000-0001-9633-9786</t>
  </si>
  <si>
    <t>0147-9571</t>
  </si>
  <si>
    <t>1878-1667</t>
  </si>
  <si>
    <t>90-91</t>
  </si>
  <si>
    <t>10.1016/j.cimid.2022.101896</t>
  </si>
  <si>
    <t>WOS:000875635100003</t>
  </si>
  <si>
    <t>Dikwa, J; Houwe, A; Abbagari, S; Akinyemi, L; Inc, M</t>
  </si>
  <si>
    <t>Dikwa, Jerome; Houwe, Alphonse; Abbagari, Souleymanou; Akinyemi, Lanre; Inc, Mustafa</t>
  </si>
  <si>
    <t>Modulated waves patterns in the photovoltaic photorefractive crystal</t>
  </si>
  <si>
    <t>OPTICAL AND QUANTUM ELECTRONICS</t>
  </si>
  <si>
    <t>Akinyemi, Lanre/AAY-4403-2020</t>
  </si>
  <si>
    <t>Akinyemi, Lanre/0000-0002-5920-250X</t>
  </si>
  <si>
    <t>0306-8919</t>
  </si>
  <si>
    <t>1572-817X</t>
  </si>
  <si>
    <t>10.1007/s11082-022-04224-3</t>
  </si>
  <si>
    <t>WOS:000873594900009</t>
  </si>
  <si>
    <t>Yusuf, A; Alshomrani, AS; Sulaiman, TA; Isah, I; Baleanu, D</t>
  </si>
  <si>
    <t>Yusuf, Abdullahi; Alshomrani, Ali S.; Sulaiman, Tukur A.; Isah, Ibrahim; Baleanu, Dumitru</t>
  </si>
  <si>
    <t>Extended classical optical solitons to a nonlinear Schrodinger equation expressing the resonant nonlinear light propagation through isolated flaws in optical waveguides</t>
  </si>
  <si>
    <t>SULAIMAN, TUKUR ABDULKADIR/GSD-2604-2022</t>
  </si>
  <si>
    <t>10.1007/s11082-022-04268-5</t>
  </si>
  <si>
    <t>WOS:000873594900008</t>
  </si>
  <si>
    <t>Sulaiman, TA; Yusuf, A; Hincal, E; Baleanu, D; Bayram, M</t>
  </si>
  <si>
    <t>Sulaiman, Tukur Abdulkadir; Yusuf, Abdullahi; Hincal, Evren; Baleanu, Dumitru; Bayram, Mustafa</t>
  </si>
  <si>
    <t>Two-wave, breather wave solutions and stability analysis to the (2+1)-dimensional Ito equation</t>
  </si>
  <si>
    <t>SULAIMAN, TUKUR ABDULKADIR/GSD-2604-2022; Bayram, Mustafa/AAA-4023-2020</t>
  </si>
  <si>
    <t>OCT</t>
  </si>
  <si>
    <t>10.1016/j.joes.2021.09.012</t>
  </si>
  <si>
    <t>WOS:000875750200006</t>
  </si>
  <si>
    <t>Zekavatmand, SM; Rezazadeh, H; Inc, M; Vahidi, J; Ghaemi, MB</t>
  </si>
  <si>
    <t>Zekavatmand, Sayyed Masood; Rezazadeh, Hadi; Inc, Mustafa; Vahidi, Javad; Ghaemi, Mohammad Bagher</t>
  </si>
  <si>
    <t>The new soliton solutions for long and short-wave interaction system</t>
  </si>
  <si>
    <t>Rezazadeh, Hadi/AAB-2926-2020</t>
  </si>
  <si>
    <t>Rezazadeh, Hadi/0000-0003-3800-8406</t>
  </si>
  <si>
    <t>10.1016/j.joes.2021.09.020</t>
  </si>
  <si>
    <t>WOS:000875750200008</t>
  </si>
  <si>
    <t>Uçan, AB; Say, ACC</t>
  </si>
  <si>
    <t>Ucan, Ahmet Bilal; Say, A. C. Cem</t>
  </si>
  <si>
    <t>Advice hierarchies among finite automata</t>
  </si>
  <si>
    <t>INFORMATION AND COMPUTATION</t>
  </si>
  <si>
    <t>Say, A. C. Cem/0000-0002-4374-8460; Ucan, Ahmet Bilal/0000-0002-7504-1048</t>
  </si>
  <si>
    <t>0890-5401</t>
  </si>
  <si>
    <t>1090-2651</t>
  </si>
  <si>
    <t>10.1016/j.ic.2022.104878</t>
  </si>
  <si>
    <t>WOS:000873951700010</t>
  </si>
  <si>
    <t>Yusuf, A; Sulaiman, TA; Hincal, E; Baleanu, D</t>
  </si>
  <si>
    <t>Yusuf, Abdullahi; Sulaiman, Tukur Abdulkadir; Hincal, Evren; Baleanu, Dumitru</t>
  </si>
  <si>
    <t>Lump, its interaction phenomena and conservation laws to a nonlinear mathematical model</t>
  </si>
  <si>
    <t>AUG</t>
  </si>
  <si>
    <t>10.1016/j.joes.2021.09.006</t>
  </si>
  <si>
    <t>WOS:000864443500008</t>
  </si>
  <si>
    <t>Younas, U; Sulaiman, TA; Ren, JL</t>
  </si>
  <si>
    <t>Younas, Usman; Sulaiman, T. A.; Ren, Jingli</t>
  </si>
  <si>
    <t>On the collision phenomena to the (3+1)-dimensional generalized nonlinear evolution equation: Applications in the shallow water waves</t>
  </si>
  <si>
    <t>EUROPEAN PHYSICAL JOURNAL PLUS</t>
  </si>
  <si>
    <t>younas, usman/GNP-1103-2022; SULAIMAN, TUKUR ABDULKADIR/GSD-2604-2022</t>
  </si>
  <si>
    <t>younas, usman/0000-0002-5508-792X</t>
  </si>
  <si>
    <t>2190-5444</t>
  </si>
  <si>
    <t>OCT 21</t>
  </si>
  <si>
    <t>10.1140/epjp/s13360-022-03401-3</t>
  </si>
  <si>
    <t>WOS:000871077000002</t>
  </si>
  <si>
    <t>Esen, H; Secer, A; Ozisik, M; Bayram, M</t>
  </si>
  <si>
    <t>Esen, Handenur; Secer, Aydin; Ozisik, Muslum; Bayram, Mustafa</t>
  </si>
  <si>
    <t>Soliton solutions to the nonlinear higher dimensional Kadomtsev-Petviashvili equation through the new Kudryashov's technique</t>
  </si>
  <si>
    <t>PHYSICA SCRIPTA</t>
  </si>
  <si>
    <t>Ozisik, Muslum/AFQ-8653-2022; Bayram, Mustafa/AAA-4023-2020; Esen, Handenur/AAZ-4535-2020; Secer, Aydin/C-5913-2013</t>
  </si>
  <si>
    <t>Ozisik, Muslum/0000-0001-6143-5380; Bayram, Mustafa/0000-0002-2994-7201; Secer, Aydin/0000-0002-8372-2441</t>
  </si>
  <si>
    <t>0031-8949</t>
  </si>
  <si>
    <t>1402-4896</t>
  </si>
  <si>
    <t>NOV 1</t>
  </si>
  <si>
    <t>10.1088/1402-4896/ac98e4</t>
  </si>
  <si>
    <t>WOS:000869972500001</t>
  </si>
  <si>
    <t>Habchi, Y; Aimer, AF; Baili, J; Inc, M; Menni, Y; Lorenzini, G</t>
  </si>
  <si>
    <t>Habchi, Yassine; Aimer, Ameur Fethi; Baili, Jamel; Inc, Mustafa; Menni, Younes; Lorenzini, Giulio</t>
  </si>
  <si>
    <t>Improving Medical Video Coding Using Multi Scale Quincunx Lattice: From Low Bitrate to High Quality</t>
  </si>
  <si>
    <t>TRAITEMENT DU SIGNAL</t>
  </si>
  <si>
    <t>Menni, Younes/IST-9002-2023; Baili, Jamel/AAH-4486-2021; Aimer, Ameur Fethi/AAE-2519-2020</t>
  </si>
  <si>
    <t>Menni, Younes/0000-0003-1475-3743; Baili, Jamel/0000-0001-5564-6114; Aimer, Ameur Fethi/0000-0003-4933-109X</t>
  </si>
  <si>
    <t>0765-0019</t>
  </si>
  <si>
    <t>1958-5608</t>
  </si>
  <si>
    <t>10.18280/ts.390411</t>
  </si>
  <si>
    <t>WOS:000867397500011</t>
  </si>
  <si>
    <t>Alshehri, AM; Alshehri, HM; Alshreef, AN; Kara, AH; Biswas, A; Yildirim, Y</t>
  </si>
  <si>
    <t>Alshehri, Ahmed M.; Alshehri, Hashim M.; Alshreef, Abdullah N.; Kara, Abdul H.; Biswas, Anjan; Yildirim, Yakup</t>
  </si>
  <si>
    <t>Conservation laws for dispersive optical solitons with Radhakrishnan-Kundu-Lakshmanan model having quadrupled power-law of self-phase modulation</t>
  </si>
  <si>
    <t>Alshehri, Ahmed/GQH-4823-2022; Yildirim, Yakup/HTO-9875-2023</t>
  </si>
  <si>
    <t>Alshehri, Ahmed/0000-0002-2161-4752; Yildirim, Yakup/0000-0003-4443-3337</t>
  </si>
  <si>
    <t>10.1016/j.ijleo.2022.169715</t>
  </si>
  <si>
    <t>WOS:000862986900008</t>
  </si>
  <si>
    <t>Ozisik, M; Secer, A; Bayram, M</t>
  </si>
  <si>
    <t>Ozisik, Muslum; Secer, Aydin; Bayram, Mustafa</t>
  </si>
  <si>
    <t>The bell-shaped perturbed dispersive optical solitons of Biswas-Arshed equation using the new Kudryashov's approach</t>
  </si>
  <si>
    <t>Secer, Aydin/C-5913-2013; Ozisik, Muslum/AFQ-8653-2022; Bayram, Mustafa/AAA-4023-2020</t>
  </si>
  <si>
    <t>Secer, Aydin/0000-0002-8372-2441; Ozisik, Muslum/0000-0001-6143-5380; Bayram, Mustafa/0000-0002-2994-7201</t>
  </si>
  <si>
    <t>10.1016/j.ijleo.2022.169650</t>
  </si>
  <si>
    <t>WOS:000864740300006</t>
  </si>
  <si>
    <t>Kumar, P; Baleanu, D; Erturk, VS; Inc, M; Govindaraj, V</t>
  </si>
  <si>
    <t>Kumar, Pushpendra; Baleanu, Dumitru; Erturk, Vedat Suat; Inc, Mustafa; Govindaraj, V</t>
  </si>
  <si>
    <t>A delayed plant disease model with Caputo fractional derivatives</t>
  </si>
  <si>
    <t>ADVANCES IN CONTINUOUS AND DISCRETE MODELS</t>
  </si>
  <si>
    <t>Baleanu, Dumitru/B-9936-2012; Kumar, Pushpendra/AAA-1223-2021</t>
  </si>
  <si>
    <t>Baleanu, Dumitru/0000-0002-0286-7244; Kumar, Pushpendra/0000-0002-7755-2837; Venkatesan, Govindaraj/0000-0002-6564-5358</t>
  </si>
  <si>
    <t>2731-4235</t>
  </si>
  <si>
    <t>JAN 29</t>
  </si>
  <si>
    <t>10.1186/s13662-022-03684-x</t>
  </si>
  <si>
    <t>WOS:000867404800001</t>
  </si>
  <si>
    <t>Ibrahim, M; Din, A; Yusuf, A; Lv, YP; Jahanshahi, H; Aly, AA</t>
  </si>
  <si>
    <t>Ibrahim, Muhammad; Din, Anwarud; Yusuf, Abdullahi; Lv, Yu-Pei; Jahanshahi, Hadi; Aly, Ayman A.</t>
  </si>
  <si>
    <t>Euler equations for isentropic gas dynamics with general pressure law</t>
  </si>
  <si>
    <t>Aly, Ayman A./AAZ-9459-2021; Jahanshahi, Hadi/GSJ-4151-2022</t>
  </si>
  <si>
    <t>Aly, Ayman A./0000-0002-8383-8014; Jahanshahi, Hadi/0000-0001-7810-6479</t>
  </si>
  <si>
    <t>JAN 28</t>
  </si>
  <si>
    <t>10.1186/s13662-022-03680-1</t>
  </si>
  <si>
    <t>WOS:000867397600001</t>
  </si>
  <si>
    <t>Ozisik, M; Bayram, M; Secer, A; Cinar, M</t>
  </si>
  <si>
    <t>Ozisik, Muslum; Bayram, Mustafa; Secer, Aydin; Cinar, Melih</t>
  </si>
  <si>
    <t>Optical soliton solutions of the Chen-Lee-Liu equation in the presence of perturbation and the effect of the inter-modal dispersion, self-steepening and nonlinear dispersion</t>
  </si>
  <si>
    <t>Secer, Aydin/C-5913-2013; Cinar, Melih/AAZ-4661-2020; Ozisik, Muslum/AFQ-8653-2022; Bayram, Mustafa/AAA-4023-2020</t>
  </si>
  <si>
    <t>Secer, Aydin/0000-0002-8372-2441; Cinar, Melih/0000-0002-4684-3631; Ozisik, Muslum/0000-0001-6143-5380; Bayram, Mustafa/0000-0002-2994-7201</t>
  </si>
  <si>
    <t>10.1007/s11082-022-04216-3</t>
  </si>
  <si>
    <t>WOS:000862410700012</t>
  </si>
  <si>
    <t>Rezazadeh, H; Ali, KK; Sahoo, S; Vahidi, J; Inc, M</t>
  </si>
  <si>
    <t>Rezazadeh, Hadi; Ali, Khalid K.; Sahoo, S.; Vahidi, Javad; Inc, Mustafa</t>
  </si>
  <si>
    <t>New optical soliton solutions to magneto-optic waveguides</t>
  </si>
  <si>
    <t>Sahoo, subhadarshan/IUN-9624-2023; vahidi, javad/S-9314-2018; Sahoo, Dr. Subhadarshan/IAN-9201-2023; Rezazadeh, Hadi/AAB-2926-2020; Ali, Khalid K./W-3074-2018; Inc, Mustafa/C-4307-2018</t>
  </si>
  <si>
    <t>Sahoo, subhadarshan/0000-0002-2271-1415; Rezazadeh, Hadi/0000-0003-3800-8406; Ali, Khalid K./0000-0002-7801-2760; Inc, Mustafa/0000-0003-4996-8373</t>
  </si>
  <si>
    <t>10.1007/s11082-022-04186-6</t>
  </si>
  <si>
    <t>WOS:000862410700009</t>
  </si>
  <si>
    <t>Onder, I; Cinar, M; Secer, A; Yusuf, A; Bayram, M; Sulaiman, TA</t>
  </si>
  <si>
    <t>Onder, Ismail; Cinar, Melih; Secer, Aydin; Yusuf, Abdullahi; Bayram, Mustafa; Sulaiman, Tukur Abdulkadir</t>
  </si>
  <si>
    <t>Comparative analysis for the nonlinear mathematical equation with new wave structures</t>
  </si>
  <si>
    <t>Cinar, Melih/AAZ-4661-2020; Bayram, Mustafa/AAA-4023-2020; SULAIMAN, TUKUR ABDULKADIR/GSD-2604-2022; Önder, İsmail/AAZ-4533-2020; Secer, Aydin/C-5913-2013</t>
  </si>
  <si>
    <t>Cinar, Melih/0000-0002-4684-3631; Bayram, Mustafa/0000-0002-2994-7201; Önder, İsmail/0000-0001-8380-6381; Secer, Aydin/0000-0002-8372-2441</t>
  </si>
  <si>
    <t>10.1140/epjp/s13360-022-03342-x</t>
  </si>
  <si>
    <t>WOS:000865765100003</t>
  </si>
  <si>
    <t>Alshehri, AM; Alshehri, HM; Alshreef, AN; Kumar, S; Yildirim, Y; Biswas, A</t>
  </si>
  <si>
    <t>Alshehri, Ahmed M.; Alshehri, Hashim M.; Alshreef, Abdullah N.; Kumar, Sachin; Yildirim, Yakup; Biswas, Anjan</t>
  </si>
  <si>
    <t>Optical solitons and other invariant solutions with fiber Bragg gratings and dispersive reflectivity having parabolic-nonlinear combo nonlinearity</t>
  </si>
  <si>
    <t>Kumar, Sachin/ABX-4974-2022; Alshehri, Ahmed/GQH-4823-2022; Yildirim, Yakup/HTO-9875-2023; KUMAR, SACHIN/JFK-1200-2023</t>
  </si>
  <si>
    <t>Kumar, Sachin/0000-0001-6883-7788; Alshehri, Ahmed/0000-0002-2161-4752; Yildirim, Yakup/0000-0003-4443-3337; KUMAR, SACHIN/0000-0002-0697-6421</t>
  </si>
  <si>
    <t>10.1016/j.ijleo.2022.169803</t>
  </si>
  <si>
    <t>WOS:000864711100004</t>
  </si>
  <si>
    <t>On the examination of optical soliton pulses of Manakov system with auxiliary equation technique</t>
  </si>
  <si>
    <t>Secer, Aydin/C-5913-2013; Bayram, Mustafa/AAA-4023-2020; Ozisik, Muslum/AFQ-8653-2022</t>
  </si>
  <si>
    <t>Secer, Aydin/0000-0002-8372-2441; Bayram, Mustafa/0000-0002-2994-7201; Ozisik, Muslum/0000-0001-6143-5380</t>
  </si>
  <si>
    <t>10.1016/j.ijleo.2022.169800</t>
  </si>
  <si>
    <t>WOS:000863321300012</t>
  </si>
  <si>
    <t>Secer, A</t>
  </si>
  <si>
    <t>Secer, Aydin</t>
  </si>
  <si>
    <t>Stochastic optical solitons with multiplicative white noise via Ito calculus</t>
  </si>
  <si>
    <t>Secer, Aydin/C-5913-2013</t>
  </si>
  <si>
    <t>Secer, Aydin/0000-0002-8372-2441</t>
  </si>
  <si>
    <t>10.1016/j.ijleo.2022.169831</t>
  </si>
  <si>
    <t>WOS:000863321300006</t>
  </si>
  <si>
    <t>Musa, SS; Yusuf, A; Bakare, EA; Abdullahi, ZU; Adamu, L; Mustapha, UT; He, DH</t>
  </si>
  <si>
    <t>Musa, Salihu S.; Yusuf, Abdullahi; Bakare, Emmanuel A.; Abdullahi, Zainab U.; Adamu, Lukman; Mustapha, Umar T.; He, Daihai</t>
  </si>
  <si>
    <t>Unravelling the dynamics of Lassa fever transmission with differential infectivity: Modeling analysis and control strategies</t>
  </si>
  <si>
    <t>MATHEMATICAL BIOSCIENCES AND ENGINEERING</t>
  </si>
  <si>
    <t>Mustapha, Umar Tasiu/0000-0002-0470-5572</t>
  </si>
  <si>
    <t>1547-1063</t>
  </si>
  <si>
    <t>1551-0018</t>
  </si>
  <si>
    <t>10.3934/mbe.2022613</t>
  </si>
  <si>
    <t>WOS:000862411600029</t>
  </si>
  <si>
    <t>Triki, H; Sun, YZ; Zhou, Q; Biswas, A; Yildirim, Y; Alshehri, HM</t>
  </si>
  <si>
    <t>Triki, Houria; Sun, Yunzhou; Zhou, Qin; Biswas, Anjan; Yildirim, Yakup; Alshehri, Hashim M.</t>
  </si>
  <si>
    <t>Dark solitary pulses and moving fronts in an optical medium with the higher-order dispersive and nonlinear effects</t>
  </si>
  <si>
    <t>CHAOS SOLITONS &amp; FRACTALS</t>
  </si>
  <si>
    <t>Zhou, Qin/B-2296-2012; Yildirim, Yakup/HTO-9875-2023</t>
  </si>
  <si>
    <t>Zhou, Qin/0000-0001-5334-7188; Yildirim, Yakup/0000-0003-4443-3337</t>
  </si>
  <si>
    <t>0960-0779</t>
  </si>
  <si>
    <t>1873-2887</t>
  </si>
  <si>
    <t>10.1016/j.chaos.2022.112622</t>
  </si>
  <si>
    <t>WOS:000860654500014</t>
  </si>
  <si>
    <t>Liu, PJ; Yusuf, A; Cui, T; Din, A</t>
  </si>
  <si>
    <t>Liu, Peijiang; Yusuf, Abdullahi; Cui, Ting; Din, Anwarud</t>
  </si>
  <si>
    <t>STOCHASTIC OPTIMAL CONTROL ANALYSIS FOR THE COVID-19 EPIDEMIC MODEL UNDER REAL STATISTICS</t>
  </si>
  <si>
    <t>FRACTALS-COMPLEX GEOMETRY PATTERNS AND SCALING IN NATURE AND SOCIETY</t>
  </si>
  <si>
    <t>Yusuf, Abdullahi/L-9956-2018</t>
  </si>
  <si>
    <t>Yusuf, Abdullahi/0000-0002-8308-7943</t>
  </si>
  <si>
    <t>0218-348X</t>
  </si>
  <si>
    <t>1793-6543</t>
  </si>
  <si>
    <t>10.1142/S0218348X22402204</t>
  </si>
  <si>
    <t>WOS:000860236100001</t>
  </si>
  <si>
    <t>Luo, RF; Rezazadeh, H; Inc, M; Shallal, MA; Mirhosseini-Alizamini, SM; Akinlar, MA</t>
  </si>
  <si>
    <t>Luo, Renfei; Rezazadeh, Hadi; Inc, Mustafa; Shallal, Muhannad A.; Mirhosseini-Alizamini, Seyed Mehdi; Akinlar, Mehmet Ali</t>
  </si>
  <si>
    <t>On optical solitons for the nonlinear fractional twin-core couplers with Kerr law nonlinearity</t>
  </si>
  <si>
    <t>Rezazadeh, Hadi/AAB-2926-2020; Mirhosseini-Alizamini, Seyed Mehdi/AAB-5390-2022; Akinlar, Mehmet Ali/I-3321-2013; Inc, Mustafa/C-4307-2018</t>
  </si>
  <si>
    <t>Rezazadeh, Hadi/0000-0003-3800-8406; Mirhosseini-Alizamini, Seyed Mehdi/0000-0003-1433-3124; Akinlar, Mehmet Ali/0000-0002-7005-8633; Inc, Mustafa/0000-0003-4996-8373</t>
  </si>
  <si>
    <t>10.1007/s11082-022-04204-7</t>
  </si>
  <si>
    <t>WOS:000861946600003</t>
  </si>
  <si>
    <t>Onder, I; Secer, A; Ozisik, M; Bayram, M</t>
  </si>
  <si>
    <t>Onder, Ismail; Secer, Aydin; Ozisik, Muslum; Bayram, Mustafa</t>
  </si>
  <si>
    <t>Obtaining optical soliton solutions of the cubic-quartic Fokas-Lenells equation via three different analytical methods</t>
  </si>
  <si>
    <t>Ozisik, Muslum/AFQ-8653-2022; Secer, Aydin/C-5913-2013; Önder, İsmail/AAZ-4533-2020; Bayram, Mustafa/AAA-4023-2020</t>
  </si>
  <si>
    <t>Ozisik, Muslum/0000-0001-6143-5380; Secer, Aydin/0000-0002-8372-2441; Önder, İsmail/0000-0001-8380-6381; Bayram, Mustafa/0000-0002-2994-7201</t>
  </si>
  <si>
    <t>10.1007/s11082-022-04119-3</t>
  </si>
  <si>
    <t>WOS:000861946600002</t>
  </si>
  <si>
    <t>Alshehri, HM; Maturi, DA; Al-Bogami, DH; Kumar, S; Yildirim, Y; Biswas, A</t>
  </si>
  <si>
    <t>Alshehri, Hashim M.; Maturi, Dalal A.; Al-Bogami, Dalal H.; Kumar, Sachin; Yildirim, Yakup; Biswas, Anjan</t>
  </si>
  <si>
    <t>Cubic-quartic optical solitons in fiber Bragg gratings with Kerr law of nonlinearity and dispersive reflectivity by Lie symmetry</t>
  </si>
  <si>
    <t>KUMAR, SACHIN/JFK-1200-2023; Kumar, Sachin/ABX-4974-2022; Yildirim, Yakup/HTO-9875-2023; Maturi, Dalal Adnan/HPI-0599-2023</t>
  </si>
  <si>
    <t>KUMAR, SACHIN/0000-0002-0697-6421; Kumar, Sachin/0000-0001-6883-7788; Yildirim, Yakup/0000-0003-4443-3337;</t>
  </si>
  <si>
    <t>10.1016/j.ijleo.2022.169927</t>
  </si>
  <si>
    <t>WOS:000860935900004</t>
  </si>
  <si>
    <t>Atas, SS; Ali, KK; Sulaiman, TA; Bulut, H</t>
  </si>
  <si>
    <t>Atas, Sibel S.; Ali, Karmina K.; Sulaiman, Tukur Abdulkadir; Bulut, Hsan</t>
  </si>
  <si>
    <t>Invariant optical soliton solutions to the Coupled-Higgs equation</t>
  </si>
  <si>
    <t>10.1007/s11082-022-04209-2</t>
  </si>
  <si>
    <t>WOS:000860753200001</t>
  </si>
  <si>
    <t>Analytical soliton solutions of the higher order cubic-quintic nonlinear Schrodinger equation and the influence of the model's parameters</t>
  </si>
  <si>
    <t>JOURNAL OF APPLIED PHYSICS</t>
  </si>
  <si>
    <t>Bayram, Mustafa/AAA-4023-2020; Secer, Aydin/C-5913-2013; Esen, Handenur/AAZ-4535-2020; Ozisik, Muslum/AFQ-8653-2022</t>
  </si>
  <si>
    <t>0021-8979</t>
  </si>
  <si>
    <t>1089-7550</t>
  </si>
  <si>
    <t>AUG 7</t>
  </si>
  <si>
    <t>10.1063/5.0100433</t>
  </si>
  <si>
    <t>WOS:000860443900007</t>
  </si>
  <si>
    <t>Atas, Sibel S.; Ali, Karmina K.; Sulaiman, Tukur Abdulkadir; Bulut, Hasan</t>
  </si>
  <si>
    <t>Optical solitons to the Fokas system equation in monomode optical fibers</t>
  </si>
  <si>
    <t>10.1007/s11082-022-04120-w</t>
  </si>
  <si>
    <t>WOS:000854789500012</t>
  </si>
  <si>
    <t>Ibrahim, S; Sulaiman, TA; Yusuf, A; Alshomrani, AS; Baleanu, D</t>
  </si>
  <si>
    <t>Ibrahim, Salisu; Sulaiman, Tukur Abdulkadir; Yusuf, Abdullahi; Alshomrani, Ali S.; Baleanu, Dumitru</t>
  </si>
  <si>
    <t>Families of optical soliton solutions for the nonlinear Hirota-Schrodinger equation</t>
  </si>
  <si>
    <t>Ibrahim, Salisu/HTO-6329-2023; Baleanu, Dumitru/B-9936-2012; Yusuf, Abdullahi/L-9956-2018; SULAIMAN, TUKUR ABDULKADIR/GSD-2604-2022</t>
  </si>
  <si>
    <t>Ibrahim, Salisu/0000-0002-1467-5426; Baleanu, Dumitru/0000-0002-0286-7244; Yusuf, Abdullahi/0000-0002-8308-7943;</t>
  </si>
  <si>
    <t>10.1007/s11082-022-04149-x</t>
  </si>
  <si>
    <t>WOS:000854650000004</t>
  </si>
  <si>
    <t>Dynamics of optical pulses in dual-core optical fibers modelled by decoupled nonlinear Schrodinger equation via GERF and NEDA techniques</t>
  </si>
  <si>
    <t>SULAIMAN, TUKUR ABDULKADIR/GSD-2604-2022; younas, usman/GNP-1103-2022</t>
  </si>
  <si>
    <t>10.1007/s11082-022-04140-6</t>
  </si>
  <si>
    <t>WOS:000854650000015</t>
  </si>
  <si>
    <t>Zayed, EME; Alngar, MEM; Shohib, RMA; Biswas, A; Yildirim, Y; Moraru, L; Mereuta, E; Alshehri, HM</t>
  </si>
  <si>
    <t>Zayed, Elsayed M. E.; Alngar, Mohamed E. M.; Shohib, Reham M. A.; Biswas, Anjan; Yildirim, Yakup; Moraru, Luminita; Mereuta, Elena; Alshehri, Hashim M.</t>
  </si>
  <si>
    <t>Embedded solitons with χ(2) and χ(3) nonlinear susceptibilities having multiplicative white noise via Ito Calculus</t>
  </si>
  <si>
    <t>Alngar, Mohamed E. M./HTR-3164-2023; Alngar, Mohamed/HOC-1876-2023; Yildirim, Yakup/HTO-9875-2023; Shohib, Reham/IUM-3893-2023; Moraru, Luminita/A-8532-2012</t>
  </si>
  <si>
    <t>Alngar, Mohamed E. M./0000-0002-5436-7268; Alngar, Mohamed/0000-0002-5436-7268; Yildirim, Yakup/0000-0003-4443-3337; Shohib, Reham/0000-0001-8352-5491; Moraru, Luminita/0000-0002-9121-5714</t>
  </si>
  <si>
    <t>10.1016/j.chaos.2022.112494</t>
  </si>
  <si>
    <t>WOS:000851394200016</t>
  </si>
  <si>
    <t>Houwe, A; Abbagari, S; Akinyemi, L; Inc, M; Doka, SY</t>
  </si>
  <si>
    <t>Houwe, Alphonse; Abbagari, Souleymanou; Akinyemi, Lanre; Inc, Mustafa; Doka, Serge Y.</t>
  </si>
  <si>
    <t>Wave propagation in discrete cold bosonic atoms zig-zag optical lattice</t>
  </si>
  <si>
    <t>Akinyemi, Lanre/0000-0002-5920-250X; Abbagari, Souleymanou/0000-0003-3807-6046</t>
  </si>
  <si>
    <t>SEP 10</t>
  </si>
  <si>
    <t>10.1140/epjp/s13360-022-03233-1</t>
  </si>
  <si>
    <t>WOS:000852383200006</t>
  </si>
  <si>
    <t>Çaliskaner, ZO</t>
  </si>
  <si>
    <t>Caliskaner, Zihni Onur</t>
  </si>
  <si>
    <t>Computational discovery of novel inhibitory candidates targeting versatile transcriptional repressor MBD2</t>
  </si>
  <si>
    <t>JOURNAL OF MOLECULAR MODELING</t>
  </si>
  <si>
    <t>Çalışkaner, Zihni Onur/AAQ-6517-2021</t>
  </si>
  <si>
    <t>Çalışkaner, Zihni Onur/0000-0003-1385-1739</t>
  </si>
  <si>
    <t>1610-2940</t>
  </si>
  <si>
    <t>0948-5023</t>
  </si>
  <si>
    <t>10.1007/s00894-022-05297-3</t>
  </si>
  <si>
    <t>WOS:000850587200007</t>
  </si>
  <si>
    <t>Lim, EJ; Castellani, D; So, WZ; Fong, KY; Li, JQ; Tiong, HY; Gadzhiev, N; Heng, CT; Teoh, JYC; Naik, N; Ghani, K; Sarica, K; De La Rosette, J; Somani, B; Gauhar, V</t>
  </si>
  <si>
    <t>Lim, Ee Jean; Castellani, Daniele; So, Wei Zheng; Fong, Khi Yung; Li, Jing Qiu; Tiong, Ho Yee; Gadzhiev, Nariman; Heng, Chin Tiong; Teoh, Jeremy Yuen-Chun; Naik, Nithesh; Ghani, Khurshid; Sarica, Kemal; De La Rosette, Jean; Somani, Bhaskar; Gauhar, Vineet</t>
  </si>
  <si>
    <t>Radiomics in Urolithiasis: Systematic Review of Current Applications, Limitations, and Future Directions</t>
  </si>
  <si>
    <t>JOURNAL OF CLINICAL MEDICINE</t>
  </si>
  <si>
    <t>Zhang, Xiaoyue/JFS-9880-2023; Gauhar, Vineet/ABC-9201-2021; Naik, Nithesh/W-5086-2019; Castellani, Daniele/B-1501-2019; Khi Yung, Fong/HJA-3510-2022; Gadzhiev, Nariman/IXW-5070-2023; Tiong, Ho Yee/F-1013-2012; Wang, lingyu/JLM-2013-2023</t>
  </si>
  <si>
    <t>Gauhar, Vineet/0000-0002-3740-7141; Naik, Nithesh/0000-0003-0356-7697; Castellani, Daniele/0000-0001-7354-9190; Tiong, Ho Yee/0000-0003-0077-7904; Gadzhiev, Nariman/0000-0002-6255-0193; So, Wei Zheng/0000-0002-2303-0750; Somani, Bhaskar/0000-0002-6248-6478; de la Rosette, Jean JMCH/0000-0002-6308-1763; Lim, Ee Jean/0000-0002-5242-0651</t>
  </si>
  <si>
    <t>2077-0383</t>
  </si>
  <si>
    <t>10.3390/jcm11175151</t>
  </si>
  <si>
    <t>WOS:000851166600001</t>
  </si>
  <si>
    <t>Froumsia, D; Yao, SW; Jean-François, ED; Alphonse, H; Kolyang; Inc, M</t>
  </si>
  <si>
    <t>Froumsia, Dokrom; Yao, Shao-Wen; Jean-Francois, Essiben Dikoudou; Alphonse, Houwe; Kolyang; Inc, Mustafa</t>
  </si>
  <si>
    <t>A REVIEW OF THE MINIATURIZATION OF MICROSTRIP PATCH ANTENNA BASED ON FRACTAL SHAPES</t>
  </si>
  <si>
    <t>10.1142/S0218348X22401612</t>
  </si>
  <si>
    <t>WOS:000846027200001</t>
  </si>
  <si>
    <t>Liu, X; Rahman, MU; Arfan, M; Tchier, F; Ahmad, S; Inc, M; Akinyemi, L</t>
  </si>
  <si>
    <t>Liu, Xuan; Rahman, Mati Ur; Arfan, Muhammad; Tchier, Fairouz; Ahmad, Shabir; Inc, Mustafa; Akinyemi, Lanre</t>
  </si>
  <si>
    <t>FRACTIONAL MATHEMATICAL MODELING TO THE SPREAD OF POLIO WITH THE ROLE OF VACCINATION UNDER NON-SINGULAR KERNEL</t>
  </si>
  <si>
    <t>Ahmad, Shabir/AAJ-8499-2021; Rahman, Mati ur/AAB-7278-2022; Arfan, Muhammad/T-7715-2019; Tawfiq, Ferdous/GZB-1917-2022; Tchier, Fairouz/GZB-1792-2022; Akinyemi, Lanre/AAY-4403-2020; Tchier, Fairouz Tchier/F-5828-2018</t>
  </si>
  <si>
    <t>Ahmad, Shabir/0000-0002-5610-6248; Rahman, Mati ur/0000-0002-4166-2006; Arfan, Muhammad/0000-0002-5253-2688; Tawfiq, Ferdous/0000-0001-7855-508X; Akinyemi, Lanre/0000-0002-5920-250X; Tchier, Fairouz Tchier/0000-0001-7855-508X</t>
  </si>
  <si>
    <t>10.1142/S0218348X22401442</t>
  </si>
  <si>
    <t>WOS:000846027200034</t>
  </si>
  <si>
    <t>Partohaghighi, M; Yusuf, A; Karaca, Y; Li, YM; Ibrahim, TF; Younis, BA; Saleh, B; Aly, AA</t>
  </si>
  <si>
    <t>Partohaghighi, Mohammad; Yusuf, Abdullahi; Karaca, Yeliz; Li, Yong-Min; Ibrahim, Tarek F.; Younis, B. A.; Saleh, Bahaa; Aly, Ayman A.</t>
  </si>
  <si>
    <t>A NEW FRACTAL FRACTIONAL MODELING OF THE COMPUTER VIRUSES SYSTEM</t>
  </si>
  <si>
    <t>Ibrahim, Tarek Fawzi/AAM-7766-2020; Saleh, B/AAK-7095-2021; Karaca, Yeliz/W-1525-2019; Aly, Ayman A./AAZ-9459-2021</t>
  </si>
  <si>
    <t>Ibrahim, Tarek Fawzi/0000-0002-6895-3268; Saleh, B/0000-0003-0646-2524; Karaca, Yeliz/0000-0001-8725-6719; Aly, Ayman A./0000-0002-8383-8014</t>
  </si>
  <si>
    <t>10.1142/S0218348X22401843</t>
  </si>
  <si>
    <t>WOS:000846027200064</t>
  </si>
  <si>
    <t>Yao, SW; Ahniad, A; Inc, M; Farman, M; Ghaffar, A; Akgul, A</t>
  </si>
  <si>
    <t>Yao, Shao-Wen; Ahniad, Aqui; Inc, Mustafa; Farman, Muhammad; Ghaffar, Abdul; Akgul, Ali</t>
  </si>
  <si>
    <t>ANALYSIS OF FRACTIONAL ORDER DIARRHEA MODEL USING FRACTAL FRACTIONAL OPERATOR</t>
  </si>
  <si>
    <t>Farman, Muhammad/AAZ-2869-2020; Akgül, Ali/F-3909-2019</t>
  </si>
  <si>
    <t>Farman, Muhammad/0000-0001-7616-0500; Akgül, Ali/0000-0001-9832-1424</t>
  </si>
  <si>
    <t>10.1142/S0218348X22401739</t>
  </si>
  <si>
    <t>WOS:000846027200006</t>
  </si>
  <si>
    <t>Zhang, XZ; Asjad, MI; Faridi, WA; Jhangeer, A; Inc, M</t>
  </si>
  <si>
    <t>Zhang, Xiao-Zhong; Asjad, Muhammad Imran; Faridi, Waqas Ali; Jhangeer, Adil; Inc, Mustafa</t>
  </si>
  <si>
    <t>THE COMPARATIVE REPORT ON DYNAMICAL ANALYSIS ABOUT FRACTIONAL NONLINEAR DRINFELD-SOKOLOV-WILSON SYSTEM</t>
  </si>
  <si>
    <t>sun, chen/JCP-0396-2023; Wang, Zixuan/HZJ-2348-2023; Zhang, XZ/HJA-4189-2022; Zhang, Xiaoyu/GQQ-1959-2022; Faridi, Waqas Ali Faridi/AGO-2432-2022; li, yan/ITU-9719-2023</t>
  </si>
  <si>
    <t>Faridi, Waqas Ali Faridi/0000-0003-0713-5365;</t>
  </si>
  <si>
    <t>10.1142/S0218348X22401387</t>
  </si>
  <si>
    <t>WOS:000846027200003</t>
  </si>
  <si>
    <t>Zhao, Y; Khan, A; Humphries, UW; Zarin, R; Khan, M; Yusuf, A</t>
  </si>
  <si>
    <t>Zhao, Yi; Khan, Amir; Humphries, Usa Wannasingha; Zarin, Rahat; Khan, Majid; Yusuf, Abdullahi</t>
  </si>
  <si>
    <t>DYNAMICS OF VISCERAL LEISHMANIA EPIDEMIC MODEL WITH NON-SINGULAR KERNEL</t>
  </si>
  <si>
    <t>Zarin, Rahat/ABF-5226-2021; Zarin, Rahat/AAE-3887-2022</t>
  </si>
  <si>
    <t>Zarin, Rahat/0000-0002-9759-2924;</t>
  </si>
  <si>
    <t>10.1142/S0218348X22401351</t>
  </si>
  <si>
    <t>WOS:000846027200065</t>
  </si>
  <si>
    <t>Oleszkiewicz, A; Schriever, VA; Valder, C; Agosin, E; Altundag, A; Avni, H; Van, HC; Cornejo, C; Fishman, G; Guarneros, M; Gupta, N; Kamel, R; Knaapila, A; Konstantinidis, I; Landis, BN; Larsson, M; Lundström, JN; Macchi, A; Marino-Sanchez, F; Mori, E; Mullol, J; Parma, V; Propst, EJ; Sandell, MA; Sorokowska, A; Vodicka, J; Hummel, T; Gellrich, J</t>
  </si>
  <si>
    <t>Oleszkiewicz, A.; Schriever, V. A.; Valder, C.; Agosin, E.; Altundag, A.; Avni, H.; Van, H. Cao; Cornejo, C.; Fishman, G.; Guarneros, M.; Gupta, N.; Kamel, R.; Knaapila, A.; Konstantinidis, I; Landis, B. N.; Larsson, M.; Lundstrom, J. N.; Macchi, A.; Marino-Sanchez, F.; Mori, E.; Mullol, J.; Parma, V; Propst, E. J.; Sandell, M. A.; Sorokowska, A.; Vodicka, J.; Hummel, T.; Gellrich, J.</t>
  </si>
  <si>
    <t>Hedonic perception of odors in children aged 5-8 years is similar across 18 countries: Preliminary data</t>
  </si>
  <si>
    <t>INTERNATIONAL JOURNAL OF PEDIATRIC OTORHINOLARYNGOLOGY</t>
  </si>
  <si>
    <t>Sandell, Mari A/HZI-1528-2023; Altundag, Aytug/AAP-5557-2020; Knaapila, Antti/AAU-4684-2020; Lundström, Johan N./AAK-5002-2020; Marino Sanchez, Franklin Santiago/L-9210-2018</t>
  </si>
  <si>
    <t>Sandell, Mari A/0000-0001-7161-1050; Altundag, Aytug/0000-0003-0794-5050; Knaapila, Antti/0000-0003-3564-0174; Lundström, Johan N./0000-0002-3529-8981; Gellrich, Janine/0000-0002-7336-5815; Marino Sanchez, Franklin Santiago/0000-0002-4328-0925; Sorokowska, Agnieszka/0000-0003-3999-8851; Landis, Basile/0000-0001-6034-3724</t>
  </si>
  <si>
    <t>0165-5876</t>
  </si>
  <si>
    <t>1872-8464</t>
  </si>
  <si>
    <t>10.1016/j.ijporl.2022.111129</t>
  </si>
  <si>
    <t>WOS:000849774200009</t>
  </si>
  <si>
    <t>Ozisik, M; Secer, A; Bayram, M; Sulaiman, TA; Yusuf, A</t>
  </si>
  <si>
    <t>Ozisik, Muslum; Secer, Aydin; Bayram, Mustafa; Sulaiman, Tukur Abdulkadir; Yusuf, Abdullahi</t>
  </si>
  <si>
    <t>Acquiring the solitons of inhomogeneous Murnaghan's rod using extended Kudryashov method with Bernoulli-Riccati approach</t>
  </si>
  <si>
    <t>INTERNATIONAL JOURNAL OF MODERN PHYSICS B</t>
  </si>
  <si>
    <t>Secer, Aydin/C-5913-2013; Bayram, Mustafa/AAA-4023-2020; SULAIMAN, TUKUR ABDULKADIR/GSD-2604-2022; Ozisik, Muslum/AFQ-8653-2022</t>
  </si>
  <si>
    <t>0217-9792</t>
  </si>
  <si>
    <t>1793-6578</t>
  </si>
  <si>
    <t>DEC 10</t>
  </si>
  <si>
    <t>10.1142/S0217979222502216</t>
  </si>
  <si>
    <t>WOS:000848672600002</t>
  </si>
  <si>
    <t>Tarla, S; Ali, KK; Yilmazer, R; Yusuf, A</t>
  </si>
  <si>
    <t>Tarla, Sibel; Ali, Karmina K.; Yilmazer, Resat; Yusuf, Abdullahi</t>
  </si>
  <si>
    <t>New behavior of tsunami and tidal oscillations for Long- and short-wave interaction systems</t>
  </si>
  <si>
    <t>Yusuf, Abdullahi/0000-0002-8308-7943; tarla, sibel/0000-0002-8479-0892</t>
  </si>
  <si>
    <t>AUG 20</t>
  </si>
  <si>
    <t>10.1142/S0217984922501160</t>
  </si>
  <si>
    <t>WOS:000848597000002</t>
  </si>
  <si>
    <t>Biswas, A; Yildirim, Y; Ekici, M; Aphane, M; Moshokoa, SP; Alshehri, HM</t>
  </si>
  <si>
    <t>Biswas, Anjan; Yildirim, Yakup; Ekici, Mehmet; Aphane, Maggie; Moshokoa, Seithuti P.; Alshehri, Hashim M.</t>
  </si>
  <si>
    <t>Optical Soliton Perturbation with Generalized Quadratic-Cubic Nonlinearity by Semi-Inverse Variation</t>
  </si>
  <si>
    <t>OPTICS AND SPECTROSCOPY</t>
  </si>
  <si>
    <t>Yildirim, Yakup/0000-0003-4443-3337; Ekici, Mehmet/0000-0001-8226-8008</t>
  </si>
  <si>
    <t>0030-400X</t>
  </si>
  <si>
    <t>1562-6911</t>
  </si>
  <si>
    <t>APR</t>
  </si>
  <si>
    <t>10.1134/S0030400X22040038</t>
  </si>
  <si>
    <t>WOS:000848893600002</t>
  </si>
  <si>
    <t>Köseoglu, AE; Can, H; Güvendi, M; Karakavuk, M; Manyatsi, P; Alak, SE; Döskaya, AD; Gül, A; Döskaya, M; Gürüz, AY; Ün, C</t>
  </si>
  <si>
    <t>Koseoglu, Ahmet Efe; Can, Huseyin; Guvendi, Mervenur; Karakavuk, Muhammet; Manyatsi, Pumla; Alak, Sedef Erkunt; Doskaya, Aysu Degirmenci; Gul, Aytul; Doskaya, Mert; Guruz, Adnan Yuksel; Un, Cemal</t>
  </si>
  <si>
    <t>Molecular prevalence and genetic diversity of Bartonella spp. in stray cats of Izmir, Turkey</t>
  </si>
  <si>
    <t>PARASITES &amp; VECTORS</t>
  </si>
  <si>
    <t>Degirmenci, Aysu/DET-8805-2022; Can, Hüseyin/AAG-3152-2020; karakavuk, muhammet/ABC-8038-2020; GUL, AYTUL/IAN-1126-2023</t>
  </si>
  <si>
    <t>Can, Hüseyin/0000-0001-9633-9786; karakavuk, muhammet/0000-0002-2468-5564; GUL, AYTUL/0000-0002-0594-5295</t>
  </si>
  <si>
    <t>1756-3305</t>
  </si>
  <si>
    <t>AUG 29</t>
  </si>
  <si>
    <t>10.1186/s13071-022-05431-3</t>
  </si>
  <si>
    <t>WOS:000847356300003</t>
  </si>
  <si>
    <t>Zayed, EME; Alngar, MEM; Shohib, RMA; Biswas, A; Yildirim, Y; Khan, S; Moraru, L; Moldovanu, S; Iticescu, C</t>
  </si>
  <si>
    <t>Zayed, Elsayed M. E.; Alngar, Mohamed E. M.; Shohib, Reham M. A.; Biswas, Anjan; Yildirim, Yakup; Khan, Salam; Moraru, Luminita; Moldovanu, Simona; Iticescu, Catalina</t>
  </si>
  <si>
    <t>Highly Dispersive Optical Solitons in Fiber Bragg Gratings with Kerr Law of Nonlinear Refractive Index</t>
  </si>
  <si>
    <t>Moraru, Luminita/A-8532-2012; Iticescu, Catalina/ITU-6856-2023; Alngar, Mohamed E. M./HTR-3164-2023; Yildirim, Yakup/HTO-9875-2023; Iticescu, Catalina/HGE-1874-2022; Alngar, Mohamed/HOC-1876-2023; Shohib, Reham/IUM-3893-2023</t>
  </si>
  <si>
    <t>Moraru, Luminita/0000-0002-9121-5714; Iticescu, Catalina/0000-0001-8350-9424; Alngar, Mohamed E. M./0000-0002-5436-7268; Yildirim, Yakup/0000-0003-4443-3337; Alngar, Mohamed/0000-0002-5436-7268; Shohib, Reham/0000-0001-8352-5491; Moldovanu, Simona/0000-0002-5934-329X</t>
  </si>
  <si>
    <t>10.3390/math10162968</t>
  </si>
  <si>
    <t>WOS:000846566100001</t>
  </si>
  <si>
    <t>Abbagari, S; Houwe, A; Akinyemi, L; Inc, M; Doka, SY; Crépin, KT</t>
  </si>
  <si>
    <t>Abbagari, Souleymanou; Houwe, Alphonse; Akinyemi, Lanre; Inc, Mustafa; Doka, Serge Y.; Crepin, Kofane Timoleon</t>
  </si>
  <si>
    <t>Synchronized wave and modulation instability gain induce by the effects of higher-order dispersions in nonlinear optical fibers</t>
  </si>
  <si>
    <t>10.1007/s11082-022-04014-x</t>
  </si>
  <si>
    <t>WOS:000844242300021</t>
  </si>
  <si>
    <t>Investigation of the dynamical behavior of the Hirota-Maccari system in single-mode fibers</t>
  </si>
  <si>
    <t>tarla, sibel/AEA-3594-2022</t>
  </si>
  <si>
    <t>10.1007/s11082-022-04021-y</t>
  </si>
  <si>
    <t>WOS:000842421500003</t>
  </si>
  <si>
    <t>Cinar, M; Secer, A; Bayram, M</t>
  </si>
  <si>
    <t>Cinar, Melih; Secer, Aydin; Bayram, Mustafa</t>
  </si>
  <si>
    <t>Analytical solutions of (2+1)-dimensional Calogero-Bogoyavlenskii-Schiff equation in fluid mechanics/plasma physics using the New Kudryashov method</t>
  </si>
  <si>
    <t>Secer, Aydin/C-5913-2013; Cinar, Melih/AAZ-4661-2020; Bayram, Mustafa/AAA-4023-2020</t>
  </si>
  <si>
    <t>Secer, Aydin/0000-0002-8372-2441; Cinar, Melih/0000-0002-4684-3631; Bayram, Mustafa/0000-0002-2994-7201</t>
  </si>
  <si>
    <t>SEP 1</t>
  </si>
  <si>
    <t>10.1088/1402-4896/ac883f</t>
  </si>
  <si>
    <t>WOS:000843578000001</t>
  </si>
  <si>
    <t>Kesim, C; Bektas, SN; Kulali, Z; Yildiz, E; Ersoz, MG; Sahin, A; Gunduz-Demir, C; Hasanreisoglu, M</t>
  </si>
  <si>
    <t>Kesim, Cem; Bektas, Sevval Nur; Kulali, Zeynep; Yildiz, Erdost; Ersoz, M. Giray; Sahin, Afsun; Gunduz-Demir, Cigdem; Hasanreisoglu, Murat</t>
  </si>
  <si>
    <t>HENLE FIBER LAYER MAPPING WITH DIRECTIONAL OPTICAL COHERENCE TOMOGRAPHY</t>
  </si>
  <si>
    <t>RETINA-THE JOURNAL OF RETINAL AND VITREOUS DISEASES</t>
  </si>
  <si>
    <t>Ersöz, Mehmet Giray/B-4195-2019; Hasanreisoglu, Murat/K-3887-2012; Bektas, Sevval Nur/HTM-1485-2023; Yildiz, Erdost/AAG-5229-2019; Kesim, Cem/IZP-9620-2023; Kesim, Cem/AFO-0927-2022</t>
  </si>
  <si>
    <t>Ersöz, Mehmet Giray/0000-0002-2336-0696; Hasanreisoglu, Murat/0000-0001-9885-5653; Yildiz, Erdost/0000-0001-8086-3524;</t>
  </si>
  <si>
    <t>0275-004X</t>
  </si>
  <si>
    <t>1539-2864</t>
  </si>
  <si>
    <t>10.1097/IAE.0000000000003514</t>
  </si>
  <si>
    <t>WOS:000842662100020</t>
  </si>
  <si>
    <t>Yusuf, A; Sulaiman, TA; Alshomrani, AS; Baleanu, D</t>
  </si>
  <si>
    <t>Yusuf, Abdullahi; Sulaiman, Tukur Abdulkadir; Alshomrani, Ali S.; Baleanu, Dumitru</t>
  </si>
  <si>
    <t>Breather and lump-periodic wave solutions to a system of nonlinear wave model arising in fluid mechanics</t>
  </si>
  <si>
    <t>NONLINEAR DYNAMICS</t>
  </si>
  <si>
    <t>ALSHOMRANI, ALI SALEH/Q-4236-2017; SULAIMAN, TUKUR ABDULKADIR/GSD-2604-2022; Baleanu, Dumitru/B-9936-2012</t>
  </si>
  <si>
    <t>ALSHOMRANI, ALI SALEH/0000-0001-9222-8915; Baleanu, Dumitru/0000-0002-0286-7244</t>
  </si>
  <si>
    <t>0924-090X</t>
  </si>
  <si>
    <t>1573-269X</t>
  </si>
  <si>
    <t>10.1007/s11071-022-07789-6</t>
  </si>
  <si>
    <t>WOS:000842892800001</t>
  </si>
  <si>
    <t>Brahimi, M; Inc, M; Ahmad, H; Menni, Y; Lorenzini, G</t>
  </si>
  <si>
    <t>Brahimi, Mohamed; Inc, Mustafa; Ahmad, Hijaz; Menni, Younes; Lorenzini, Giulio</t>
  </si>
  <si>
    <t>Synthesis of a Radiating Elements for Side Lobe Reduction Using a Hybrid Beamforming Technique Based on Non-Linear Programming and Stochastic Optimization</t>
  </si>
  <si>
    <t>Menni, Younes/0000-0003-1475-3743; Ahmad, Hijaz/0000-0002-5438-5407; Lorenzini, Giulio/0000-0002-5676-8575</t>
  </si>
  <si>
    <t>10.18280/ts.390301</t>
  </si>
  <si>
    <t>WOS:000834793500001</t>
  </si>
  <si>
    <t>Ali, KK; Raheel, M; Inc, M</t>
  </si>
  <si>
    <t>Ali, Khalid K.; Raheel, M.; Inc, Mustafa</t>
  </si>
  <si>
    <t>Some new types of optical solitons to the time-fractional new hamiltonian amplitude equation via extended Sinh-Gorden equation expansion method</t>
  </si>
  <si>
    <t>Ali, Khalid K./W-3074-2018; Inc, Mustafa/C-4307-2018</t>
  </si>
  <si>
    <t>Ali, Khalid K./0000-0002-7801-2760; Inc, Mustafa/0000-0003-4996-8373</t>
  </si>
  <si>
    <t>JUL 20</t>
  </si>
  <si>
    <t>10.1142/S0217984922500890</t>
  </si>
  <si>
    <t>WOS:000836045500002</t>
  </si>
  <si>
    <t>Sulaiman, TA; Yusuf, A; Alshomrani, AS; Baleanu, D</t>
  </si>
  <si>
    <t>Sulaiman, Tukur Abdulkadir; Yusuf, Abdullahi; Alshomrani, Ali Saleh; Baleanu, Dumitru</t>
  </si>
  <si>
    <t>Lump Collision Phenomena to a Nonlinear Physical Model in Coastal Engineering</t>
  </si>
  <si>
    <t>SULAIMAN, TUKUR ABDULKADIR/GSD-2604-2022; Baleanu, Dumitru/B-9936-2012; Yusuf, Abdullahi/L-9956-2018; ALSHOMRANI, ALI SALEH/Q-4236-2017</t>
  </si>
  <si>
    <t>Baleanu, Dumitru/0000-0002-0286-7244; Yusuf, Abdullahi/0000-0002-8308-7943; ALSHOMRANI, ALI SALEH/0000-0001-9222-8915</t>
  </si>
  <si>
    <t>10.3390/math10152805</t>
  </si>
  <si>
    <t>WOS:000839818300001</t>
  </si>
  <si>
    <t>Türk, Y; Devecioglu, I; Yildizhan, I; Arslan, BC; Aribas, BK</t>
  </si>
  <si>
    <t>Turk, Yasar; Devecioglu, Ismail; Yildizhan, Ishak; Arslan, Baris Can; Aribas, Bilgin Kadri</t>
  </si>
  <si>
    <t>Tunneled Uncuffed Pigtail Drainage Catheter Placement in Patients with Refractory Ascites or Pleural Effusion: A Single-Center Experience</t>
  </si>
  <si>
    <t>CARDIOVASCULAR AND INTERVENTIONAL RADIOLOGY</t>
  </si>
  <si>
    <t>Aribas, Bilgin Kadri/T-6736-2018; Türk, Yasar/N-5682-2018; DEVECIOGLU, ISMAIL/H-4523-2018</t>
  </si>
  <si>
    <t>Aribas, Bilgin Kadri/0000-0001-8218-1359; Türk, Yasar/0000-0001-6728-3664; DEVECIOGLU, ISMAIL/0000-0003-4119-617X; ARSLAN, Baris Can/0000-0002-4530-3166</t>
  </si>
  <si>
    <t>0174-1551</t>
  </si>
  <si>
    <t>1432-086X</t>
  </si>
  <si>
    <t>10.1007/s00270-022-03248-2</t>
  </si>
  <si>
    <t>WOS:000837925100004</t>
  </si>
  <si>
    <t>Bashar, MH; Inc, M; Islam, SMR; Mahmoud, KH; Akbar, MA</t>
  </si>
  <si>
    <t>Bashar, Md. Habibul; Inc, Mustafa; Islam, S. M. Rayhanul; Mahmoud, K. H.; Akbar, M. Ali</t>
  </si>
  <si>
    <t>Soliton solutions and fractional effects to the time-fractional modified equal width equation</t>
  </si>
  <si>
    <t>ALEXANDRIA ENGINEERING JOURNAL</t>
  </si>
  <si>
    <t>Islam, S. M. R./J-9336-2017</t>
  </si>
  <si>
    <t>Islam, S. M. R./0000-0002-6613-8016</t>
  </si>
  <si>
    <t>1110-0168</t>
  </si>
  <si>
    <t>2090-2670</t>
  </si>
  <si>
    <t>10.1016/j.aej.2022.06.0471110-0168</t>
  </si>
  <si>
    <t>WOS:000835159200001</t>
  </si>
  <si>
    <t>Inan, IE; Inc, M; Rezazadeh, H; Akinyemi, L</t>
  </si>
  <si>
    <t>Inan, Ibrahim Enam; Inc, Mustafa; Rezazadeh, Hadi; Akinyemi, Lanre</t>
  </si>
  <si>
    <t>Optical solitons of (3 + 1) dimensional and coupled nonlinear Schrodinger equations (vol 54, 261, 2022)</t>
  </si>
  <si>
    <t>Akinyemi, Lanre/AAY-4403-2020; Inc, Mustafa/C-4307-2018</t>
  </si>
  <si>
    <t>Akinyemi, Lanre/0000-0002-5920-250X; Inc, Mustafa/0000-0003-4996-8373</t>
  </si>
  <si>
    <t>10.1007/s11082-022-04008-9</t>
  </si>
  <si>
    <t>WOS:000835743700007</t>
  </si>
  <si>
    <t>Alshehri, HM; Maturi, DA; Al-Bogami, DH; Yildirim, Y; Biswas, A</t>
  </si>
  <si>
    <t>Alshehri, Hashim M.; Maturi, Dalal A.; Al-Bogami, Dalal H.; Yildirim, Yakup; Biswas, Anjan</t>
  </si>
  <si>
    <t>Quasi-monochromatic dynamical system of cubic-quartic optical solitons with Kerr law of nonlinear refractive index</t>
  </si>
  <si>
    <t>Yildirim, Yakup/HTO-9875-2023; Maturi, Dalal Adnan/HPI-0599-2023</t>
  </si>
  <si>
    <t>10.1016/j.ijleo.2022.169622</t>
  </si>
  <si>
    <t>WOS:000835163200008</t>
  </si>
  <si>
    <t>Esen, H; Ozisik, M; Secer, A; Bayram, M</t>
  </si>
  <si>
    <t>Esen, Handenur; Ozisik, Muslum; Secer, Aydin; Bayram, Mustafa</t>
  </si>
  <si>
    <t>Optical soliton perturbation with Fokas-Lenells equation via enhanced modified extended tanh-expansion approach</t>
  </si>
  <si>
    <t>Esen, Handenur/AAZ-4535-2020; Bayram, Mustafa/AAA-4023-2020; Ozisik, Muslum/AFQ-8653-2022; Secer, Aydin/C-5913-2013</t>
  </si>
  <si>
    <t>10.1016/j.ijleo.2022.169615</t>
  </si>
  <si>
    <t>WOS:000835163200004</t>
  </si>
  <si>
    <t>Sequel to Quasi-monochromatic dynamical system of cubic-quartic optical solitons with Kerr law of nonlinear refractive index(Power law)</t>
  </si>
  <si>
    <t>10.1016/j.ijleo.2022.169623</t>
  </si>
  <si>
    <t>WOS:000835163200005</t>
  </si>
  <si>
    <t>Alqahtani, RT; Musa, SS; Yusuf, A</t>
  </si>
  <si>
    <t>Alqahtani, Rubayyi T.; Musa, Salihu S.; Yusuf, Abdullahi</t>
  </si>
  <si>
    <t>Unravelling the dynamics of the COVID-19 pandemic with the effect of vaccination, vertical transmission and hospitalization</t>
  </si>
  <si>
    <t>Musa, Salihu Sabiu/GRO-1136-2022; Yusuf, Abdullahi/L-9956-2018</t>
  </si>
  <si>
    <t>Musa, Salihu Sabiu/0000-0001-6335-2335; Yusuf, Abdullahi/0000-0002-8308-7943</t>
  </si>
  <si>
    <t>10.1016/j.rinp.2022.105715</t>
  </si>
  <si>
    <t>WOS:000830927700010</t>
  </si>
  <si>
    <t>Khalid, A; Alsubaie, ASA; Inc, M; Rehan, A; Mahmoud, W; Osman, MS</t>
  </si>
  <si>
    <t>Khalid, Aasma; Alsubaie, A. S. A.; Inc, Mustafa; Rehan, Akmal; Mahmoud, W.; Osman, M. S.</t>
  </si>
  <si>
    <t>Cubic splines solutions of the higher order boundary value problems arise in sandwich panel theory</t>
  </si>
  <si>
    <t>Osman, Mohamed S./E-3084-2013</t>
  </si>
  <si>
    <t>Osman, Mohamed S./0000-0002-5783-0940</t>
  </si>
  <si>
    <t>10.1016/j.rinp.2022.105726</t>
  </si>
  <si>
    <t>WOS:000830927700001</t>
  </si>
  <si>
    <t>Abbagari, S; Saliou, Y; Houwe, A; Akinyemi, L; Inc, M; Bouetou, TB</t>
  </si>
  <si>
    <t>Abbagari, Souleymanou; Saliou, Youssoufa; Houwe, Alphonse; Akinyemi, Lanre; Inc, Mustafa; Bouetou, Thomas B.</t>
  </si>
  <si>
    <t>Modulated wave and modulation instability gain brought by the cross-phase modulation in birefringent fibers having anti-cubic nonlinearity</t>
  </si>
  <si>
    <t>AUG 5</t>
  </si>
  <si>
    <t>10.1016/j.physleta.2022.128191</t>
  </si>
  <si>
    <t>WOS:000832774500002</t>
  </si>
  <si>
    <t>Koç, S; Batur, LK</t>
  </si>
  <si>
    <t>Koc, Suna; Batur, Lutfiye Karcioglu</t>
  </si>
  <si>
    <t>Association between ABO blood types and the prognosis and mortality rates in patients with severe COVID-19 admitted in the intensive care unit of a tertiary-level hospital in Turkey</t>
  </si>
  <si>
    <t>CURRENT MEDICAL RESEARCH AND OPINION</t>
  </si>
  <si>
    <t>Koc, Suna/0000-0002-1738-8940; Karcioglu Batur, Lutfiye/0000-0002-4803-9137</t>
  </si>
  <si>
    <t>0300-7995</t>
  </si>
  <si>
    <t>1473-4877</t>
  </si>
  <si>
    <t>10.1080/03007995.2022.2101806</t>
  </si>
  <si>
    <t>WOS:000832899300001</t>
  </si>
  <si>
    <t>O'Keefe, S; Bhadra, P; Duah, KB; Zong, GH; Tenay, L; Andrews, L; Schneider, H; Anderson, A; Hu, ZJ; Aljewari, HS; Hall, BS; Simmonds, RE; Helms, V; High, S; Shi, WQ</t>
  </si>
  <si>
    <t>O'Keefe, Sarah; Bhadra, Pratiti; Duah, Kwabena B.; Zong, Guanghui; Tenay, Levise; Andrews, Lauren; Schneider, Hayden; Anderson, Ashley; Hu, Zhijian; Aljewari, Hazim S.; Hall, Belinda S.; Simmonds, Rachel E.; Helms, Volkhard; High, Stephen; Shi, Wei Q.</t>
  </si>
  <si>
    <t>Synthesis, Biological Evaluation and Docking Studies of Ring-Opened Analogues of Ipomoeassin F</t>
  </si>
  <si>
    <t>Shi, Wei/C-8266-2011; Hu, Zhijian/AGB-3641-2022; Bhadra, Pratiti/AAN-9142-2021</t>
  </si>
  <si>
    <t>Shi, Wei/0000-0001-5453-1753; Zong, Guanghui/0000-0002-7335-039X; High, Stephen/0000-0002-4532-8152; O'Keefe, Sarah/0000-0002-1744-0198; Duah, Kwabena/0000-0001-6716-8658; Helms, Volkhard/0000-0002-2180-9154; Hall, Belinda/0000-0002-3753-1978; Bhadra, Pratiti/0000-0002-2200-3793</t>
  </si>
  <si>
    <t>JUL</t>
  </si>
  <si>
    <t>10.3390/molecules27144419</t>
  </si>
  <si>
    <t>WOS:000832531800001</t>
  </si>
  <si>
    <t>Yépez-Martínez, H; Inc, M; Rezazadeh, H</t>
  </si>
  <si>
    <t>Yepez-Martinez, H.; Inc, Mustafa; Rezazadeh, Hadi</t>
  </si>
  <si>
    <t>New analytical solutions by the application of the modified double sub-equation method to the (1+1)-Schamel-KdV equation, the Gardner equation and the Burgers equation</t>
  </si>
  <si>
    <t>Rezazadeh, Hadi/AAB-2926-2020; Inc, Mustafa/C-4307-2018</t>
  </si>
  <si>
    <t>Rezazadeh, Hadi/0000-0003-3800-8406; Inc, Mustafa/0000-0003-4996-8373; Yepez-Martinez, Huitzilin/0000-0002-8532-5669</t>
  </si>
  <si>
    <t>AUG 1</t>
  </si>
  <si>
    <t>10.1088/1402-4896/ac8185</t>
  </si>
  <si>
    <t>WOS:000830785300001</t>
  </si>
  <si>
    <t>Ahmad, A; Farman, M; Ghafar, A; Inc, M; Ahmad, MO; Sene, N</t>
  </si>
  <si>
    <t>Ahmad, Aqeel; Farman, Muhammad; Ghafar, Abdul; Inc, Mustafa; Ahmad, Mohammad Ozair; Sene, Ndolane</t>
  </si>
  <si>
    <t>Analysis and Simulation of Fractional Order Smoking Epidemic Model</t>
  </si>
  <si>
    <t>COMPUTATIONAL AND MATHEMATICAL METHODS IN MEDICINE</t>
  </si>
  <si>
    <t>Sene, Ndolane Nsene/E-6809-2019; Ahmad, Dr. Aqeel/GQH-7590-2022; Ghaffar, Abdul/AAB-3751-2020; Sene, Ndolane Nsene/GQA-8357-2022; Farman, Muhammad/AAZ-2869-2020; Inc, Mustafa/C-4307-2018</t>
  </si>
  <si>
    <t>Sene, Ndolane Nsene/0000-0002-8664-6464; Ghaffar, Abdul/0000-0002-5994-8440; Sene, Ndolane Nsene/0000-0002-8664-6464; Farman, Muhammad/0000-0001-7616-0500; Inc, Mustafa/0000-0003-4996-8373</t>
  </si>
  <si>
    <t>1748-670X</t>
  </si>
  <si>
    <t>1748-6718</t>
  </si>
  <si>
    <t>MAY 20</t>
  </si>
  <si>
    <t>10.1155/2022/9683187</t>
  </si>
  <si>
    <t>WOS:000830997600003</t>
  </si>
  <si>
    <t>Ozisik, M; Bayram, M; Secer, A; Cinar, M; Yusuf, A; Sulaiman, TA</t>
  </si>
  <si>
    <t>Ozisik, Muslum; Bayram, Mustafa; Secer, Aydin; Cinar, Melih; Yusuf, Abdullahi; Sulaiman, Tukur Abdulkadir</t>
  </si>
  <si>
    <t>Optical solitons to the (1+2)-dimensional Chiral non-linear Schrodinger equation</t>
  </si>
  <si>
    <t>Ozisik, Muslum/AFQ-8653-2022; Secer, Aydin/C-5913-2013; Bayram, Mustafa/AAA-4023-2020; SULAIMAN, TUKUR ABDULKADIR/GSD-2604-2022; Cinar, Melih/AAZ-4661-2020</t>
  </si>
  <si>
    <t>Ozisik, Muslum/0000-0001-6143-5380; Secer, Aydin/0000-0002-8372-2441; Bayram, Mustafa/0000-0002-2994-7201; Cinar, Melih/0000-0002-4684-3631</t>
  </si>
  <si>
    <t>10.1007/s11082-022-03938-8</t>
  </si>
  <si>
    <t>WOS:000830731300002</t>
  </si>
  <si>
    <t>Raheel, M; Inc, M; Tala-Tebue, E; Mahmoud, KH</t>
  </si>
  <si>
    <t>Raheel, M.; Inc, Mustafa; Tala-Tebue, E.; Mahmoud, K. H.</t>
  </si>
  <si>
    <t>Breather, kink and rogue wave solutions of Sharma-Tasso-Olver-like equation</t>
  </si>
  <si>
    <t>10.1007/s11082-022-03933-z</t>
  </si>
  <si>
    <t>WOS:000830731300006</t>
  </si>
  <si>
    <t>Dispersive optical solitons of Biswas-Arshed equation with a couple of novel approaches</t>
  </si>
  <si>
    <t>10.1016/j.ijleo.2022.169547</t>
  </si>
  <si>
    <t>WOS:000830288700006</t>
  </si>
  <si>
    <t>Perturbation of dispersive optical solitons with Schrodinger-Hirota equation with Kerr law and spatio-temporal dispersion</t>
  </si>
  <si>
    <t>Ozdemir, Neslihan/GZN-2279-2022; Ozisik, Muslum/AFQ-8653-2022; Bayram, Mustafa/AAA-4023-2020; Secer, Aydin/C-5913-2013</t>
  </si>
  <si>
    <t>10.1016/j.ijleo.2022.169545</t>
  </si>
  <si>
    <t>WOS:000827268500009</t>
  </si>
  <si>
    <t>Tas, S; Sari, O; Dalveren, Y; Pazar, S; Kara, A; Derawi, M</t>
  </si>
  <si>
    <t>Tas, Sumeyra; Sari, Ozgen; Dalveren, Yaser; Pazar, Senol; Kara, Ali; Derawi, Mohammad</t>
  </si>
  <si>
    <t>Deep Learning-Based Vehicle Classification for Low Quality Images</t>
  </si>
  <si>
    <t>SENSORS</t>
  </si>
  <si>
    <t>Kara, Ali/0000-0002-9739-7619; Dalveren, Yaser/0000-0002-9459-0042; Derawi, Mohammad/0000-0003-0448-7613; SARI, Ozgen/0000-0002-5477-6387</t>
  </si>
  <si>
    <t>1424-8220</t>
  </si>
  <si>
    <t>10.3390/s22134740</t>
  </si>
  <si>
    <t>WOS:000824079100001</t>
  </si>
  <si>
    <t>Salmi, M; Baci, AB; Inc, M; Menni, Y; Lorenzini, G; Al-Douri, Y</t>
  </si>
  <si>
    <t>Salmi, Mohamed; Baci, Anouar Bella; Inc, Mustafa; Menni, Younes; Lorenzini, Giulio; Al-Douri, Y.</t>
  </si>
  <si>
    <t>Desing and simulation of an autonomous 12.6 kW solar plant in the Algeria's M'sila region using PVsyst software</t>
  </si>
  <si>
    <t>Al-Douri, Yarub/W-4147-2017; Al-Douri, Yarub/ISU-1792-2023; Menni, Younes/IST-9002-2023</t>
  </si>
  <si>
    <t>Al-Douri, Yarub/0000-0002-5175-6372; Menni, Younes/0000-0003-1475-3743; Lorenzini, Giulio/0000-0002-5676-8575</t>
  </si>
  <si>
    <t>10.1016/j.ijleo.2022.169294</t>
  </si>
  <si>
    <t>WOS:000823844800003</t>
  </si>
  <si>
    <t>Ashpazzadeh, E; Chu, YM; Hashemi, MS; Moharrami, M; Inc, M</t>
  </si>
  <si>
    <t>Ashpazzadeh, Elmira; Chu, Yu-Ming; Hashemi, Mir Sajjad; Moharrami, Mahsa; Inc, Mustafa</t>
  </si>
  <si>
    <t>Hermite multiwavelets representation for the sparse solution of nonlinear Abel's integral equation</t>
  </si>
  <si>
    <t>APPLIED MATHEMATICS AND COMPUTATION</t>
  </si>
  <si>
    <t>Ashpazzadeh, Elmira/HGU-4324-2022; Hashemi, Mir Sajjad/M-4081-2015; Inc, Mustafa/C-4307-2018</t>
  </si>
  <si>
    <t>Hashemi, Mir Sajjad/0000-0002-5529-3125; Inc, Mustafa/0000-0003-4996-8373</t>
  </si>
  <si>
    <t>0096-3003</t>
  </si>
  <si>
    <t>1873-5649</t>
  </si>
  <si>
    <t>AUG 15</t>
  </si>
  <si>
    <t>10.1016/j.amc.2022.127171</t>
  </si>
  <si>
    <t>WOS:000821677600018</t>
  </si>
  <si>
    <t>On the optical soliton solutions of Kundu-Mukherjee-Naskar equation via two different analytical methods</t>
  </si>
  <si>
    <t>Ozisik, Muslum/AFQ-8653-2022; Secer, Aydin/C-5913-2013; Bayram, Mustafa/AAA-4023-2020; Önder, İsmail/AAZ-4533-2020</t>
  </si>
  <si>
    <t>Ozisik, Muslum/0000-0001-6143-5380; Secer, Aydin/0000-0002-8372-2441; Bayram, Mustafa/0000-0002-2994-7201; Önder, İsmail/0000-0001-8380-6381</t>
  </si>
  <si>
    <t>MAY</t>
  </si>
  <si>
    <t>10.1016/j.ijleo.2022.168761</t>
  </si>
  <si>
    <t>WOS:000820255100014</t>
  </si>
  <si>
    <t>Gomez, CA; Rezazadeh, H; Inc, M; Akinyemi, L; Nazari, F</t>
  </si>
  <si>
    <t>Gomez, Cesar A.; Rezazadeh, Hadi; Inc, Mustafa; Akinyemi, Lanre; Nazari, Fakhroddin</t>
  </si>
  <si>
    <t>The generalized Chen-Lee-Liu model with higher order nonlinearity: optical solitons</t>
  </si>
  <si>
    <t>Rezazadeh, Hadi/AAB-2926-2020; Akinyemi, Lanre/AAY-4403-2020</t>
  </si>
  <si>
    <t>Rezazadeh, Hadi/0000-0003-3800-8406; Akinyemi, Lanre/0000-0002-5920-250X</t>
  </si>
  <si>
    <t>10.1007/s11082-022-03923-1</t>
  </si>
  <si>
    <t>WOS:000821009000006</t>
  </si>
  <si>
    <t>Tariq, KU; Inc, M; Zubair, M</t>
  </si>
  <si>
    <t>Tariq, Kalim U.; Inc, Mustafa; Zubair, Muhammad</t>
  </si>
  <si>
    <t>Dynamical behaviours of the (3+1)-dimensional Kadomtsev-Petviashvili equation describing the dispersive waves</t>
  </si>
  <si>
    <t>Inc, Mustafa/C-4307-2018; Tariq, Kalim U./G-9568-2016</t>
  </si>
  <si>
    <t>Inc, Mustafa/0000-0003-4996-8373; Tariq, Kalim U./0000-0003-0300-6515</t>
  </si>
  <si>
    <t>10.1007/s11082-022-03801-w</t>
  </si>
  <si>
    <t>WOS:000821009000004</t>
  </si>
  <si>
    <t>Froumsia, D; Jean-François, ED; Houwe, A; Kolyang; Inc, M</t>
  </si>
  <si>
    <t>Froumsia, Dokrom; Jean-Francois, Essiben Dikoundou; Houwe, Alphonse; Kolyang; Inc, Mustafa</t>
  </si>
  <si>
    <t>Miniaturization of dual bands fractal-based microstrip patch fractal antenna for X and Ku bands applications</t>
  </si>
  <si>
    <t>JUN 29</t>
  </si>
  <si>
    <t>10.1140/epjp/s13360-022-02969-0</t>
  </si>
  <si>
    <t>WOS:000820059700001</t>
  </si>
  <si>
    <t>Oner, TO; Karakavuk, M; Doskaya, AD; Guvendi, M; Guel, A; Koseoglu, AE; Alak, SE; Guruz, AY; Un, C; Doskaya, M; Can, H</t>
  </si>
  <si>
    <t>Oner, Tuelay Oncu; Karakavuk, Muhammet; Doskaya, Aysu Degirmenci; Guvendi, Mervenur; Guel, Aytul; Koseoglu, Ahmet Efe; Alak, Sedef Erkunt; Guruz, Adnan Yuksel; Un, Cemal; Doskaya, Mert; Can, Huseyin</t>
  </si>
  <si>
    <t>Molecular prevalence of Blastocystis sp. and subtype diversity in fecal samples collected from cattle in dairy farms in Turkey</t>
  </si>
  <si>
    <t>karakavuk, muhammet/ABC-8038-2020; Öncü Öner, Tülay/HDL-9506-2022; Degirmenci, Aysu/DET-8805-2022; Erkunt Alak, Sedef/AAG-9556-2020; Can, Hüseyin/AAG-3152-2020; GUL, AYTUL/IAN-1126-2023</t>
  </si>
  <si>
    <t>karakavuk, muhammet/0000-0002-2468-5564; Öncü Öner, Tülay/0000-0001-6180-5409; Can, Hüseyin/0000-0001-9633-9786; GUL, AYTUL/0000-0002-0594-5295; Koseoglu, Ahmet Efe/0000-0002-3505-4397</t>
  </si>
  <si>
    <t>10.1016/j.cimid.2022.101850</t>
  </si>
  <si>
    <t>WOS:000818516500007</t>
  </si>
  <si>
    <t>Houwe, A; Abbagari, S; Djorwe, P; Saliou, Y; Doka, SY; Inc, M</t>
  </si>
  <si>
    <t>Houwe, Alphonse; Abbagari, Souleymanou; Djorwe, Philippe; Saliou, Youssoufa; Doka, Serge Y.; Inc, Mustafa</t>
  </si>
  <si>
    <t>W-shaped profile and breather-like soliton of the fractional nonlinear Schrodinger equation describing the polarization mode in optical fibers</t>
  </si>
  <si>
    <t>HOUWE, Alphonse/0000-0002-3619-8253</t>
  </si>
  <si>
    <t>10.1007/s11082-022-03859-6</t>
  </si>
  <si>
    <t>WOS:000818809700005</t>
  </si>
  <si>
    <t>Bouteraa, N; Inc, M; Hashemi, MS; Benaicha, S</t>
  </si>
  <si>
    <t>Bouteraa, N.; Inc, Mustafa; Hashemi, M. S.; Benaicha, S.</t>
  </si>
  <si>
    <t>Study on the existence and nonexistence of solutions for a class of nonlinear Erdelyi-Kober type fractional differential equation on unbounded domain</t>
  </si>
  <si>
    <t>JOURNAL OF GEOMETRY AND PHYSICS</t>
  </si>
  <si>
    <t>Hashemi, Mir Sajjad/M-4081-2015</t>
  </si>
  <si>
    <t>Hashemi, Mir Sajjad/0000-0002-5529-3125</t>
  </si>
  <si>
    <t>0393-0440</t>
  </si>
  <si>
    <t>1879-1662</t>
  </si>
  <si>
    <t>10.1016/j.geomphys.2022.104546</t>
  </si>
  <si>
    <t>WOS:000810716400009</t>
  </si>
  <si>
    <t>Zhang, XZ; Khalid, A; Inc, M; Rehan, A; Nisar, KS; Osman, MS</t>
  </si>
  <si>
    <t>Zhang, Xiao-Zhong; Khalid, Aasma; Inc, Mustafa; Rehan, Akmal; Nisar, Kottakkaran Sooppy; Osman, M. S.</t>
  </si>
  <si>
    <t>Cubic spline solutions of the ninth order linear and non-linear boundary value problems</t>
  </si>
  <si>
    <t>Nisar, Kottakkaran Sooppy/F-7559-2015; Zhang, XZ/HJA-4189-2022; Zhang, Xiaoyu/GQQ-1959-2022; Shi, Z/ISB-4324-2023; wang, jing/GRS-7509-2022; Wang, Zixuan/HZJ-2348-2023; Osman, Mohamed S./E-3084-2013</t>
  </si>
  <si>
    <t>Nisar, Kottakkaran Sooppy/0000-0001-5769-4320; Osman, Mohamed S./0000-0002-5783-0940</t>
  </si>
  <si>
    <t>10.1016/j.aej.2022.05.003</t>
  </si>
  <si>
    <t>WOS:000813317000002</t>
  </si>
  <si>
    <t>Partohaghighi, M; Inc, M; Yusuf, A; Sulaiman, TA; Bayram, M</t>
  </si>
  <si>
    <t>Partohaghighi, Mohammad; Inc, Mustafa; Yusuf, Abdullahi; Sulaiman, Tukur A.; Bayram, Mustafa</t>
  </si>
  <si>
    <t>Numerical approximations and conservation laws for the Sine-Gordon equation</t>
  </si>
  <si>
    <t>Bayram, Mustafa/AAA-4023-2020; SULAIMAN, TUKUR ABDULKADIR/GSD-2604-2022; Inc, Mustafa/C-4307-2018</t>
  </si>
  <si>
    <t>Bayram, Mustafa/0000-0002-2994-7201; Inc, Mustafa/0000-0003-4996-8373</t>
  </si>
  <si>
    <t>10.1016/j.geomphys.2022.104556</t>
  </si>
  <si>
    <t>WOS:000806873000009</t>
  </si>
  <si>
    <t>Zafar, A; Inc, M; Shakeel, M; Mohsin, M</t>
  </si>
  <si>
    <t>Zafar, Asim; Inc, Mustafa; Shakeel, Muhammad; Mohsin, Muhammad</t>
  </si>
  <si>
    <t>Analytical study of nonlinear water wave equations for their fractional solution structures</t>
  </si>
  <si>
    <t>Zafar, Asim/J-7905-2018; Inc, Mustafa/C-4307-2018</t>
  </si>
  <si>
    <t>Zafar, Asim/0000-0003-2242-8529; Inc, Mustafa/0000-0003-4996-8373</t>
  </si>
  <si>
    <t>10.1142/S0217984922500713</t>
  </si>
  <si>
    <t>WOS:000814044600012</t>
  </si>
  <si>
    <t>Sadiya, U; Inc, M; Arefin, MA; Uddin, MH</t>
  </si>
  <si>
    <t>Sadiya, Umme; Inc, Mustafa; Arefin, Mohammad Asif; Uddin, M. Hafiz</t>
  </si>
  <si>
    <t>Consistent travelling waves solutions to the non-linear time fractional Klein-Gordon and Sine-Gordon equations through extended tanh-function approach</t>
  </si>
  <si>
    <t>JOURNAL OF TAIBAH UNIVERSITY FOR SCIENCE</t>
  </si>
  <si>
    <t>Arefin, Mohammad Asif/ABD-6238-2020; Inc, Mustafa/C-4307-2018</t>
  </si>
  <si>
    <t>Arefin, Mohammad Asif/0000-0002-2892-1683; Inc, Mustafa/0000-0003-4996-8373</t>
  </si>
  <si>
    <t>1658-3655</t>
  </si>
  <si>
    <t>10.1080/16583655.2022.2089396</t>
  </si>
  <si>
    <t>WOS:000812795000001</t>
  </si>
  <si>
    <t>Gulsen, S; Inc, M</t>
  </si>
  <si>
    <t>Gulsen, Selahattin; Inc, Mustafa</t>
  </si>
  <si>
    <t>Time fractional super KdV equation: Lie point symmetries, conservation laws, explicit solutions with convergence analysis</t>
  </si>
  <si>
    <t>INTERNATIONAL JOURNAL OF GEOMETRIC METHODS IN MODERN PHYSICS</t>
  </si>
  <si>
    <t>0219-8878</t>
  </si>
  <si>
    <t>1793-6977</t>
  </si>
  <si>
    <t>10.1142/S0219887822501225</t>
  </si>
  <si>
    <t>WOS:000812255500014</t>
  </si>
  <si>
    <t>Musa, SS; Yusuf, A; Zhao, S; Abdullahi, ZU; Abu-Odah, H; Saad, FT; Adamu, L; He, DH</t>
  </si>
  <si>
    <t>Musa, Salihu S.; Yusuf, Abdullahi; Zhao, Shi; Abdullahi, Zainab U.; Abu-Odah, Hammoda; Saad, Farouk Tijjani; Adamu, Lukman; He, Daihai</t>
  </si>
  <si>
    <t>Transmission dynamics of COVID-19 pandemic with combined effects of relapse, reinfection and environmental contribution: A modeling analysis</t>
  </si>
  <si>
    <t>Yusuf, Abdullahi/L-9956-2018; Musa, Salihu Sabiu/GRO-1136-2022; Saad, Farouk/HGB-1464-2022; ABU-ODAH, Hammoda/AAW-7822-2021; Zhao, Shi/AAW-6992-2021</t>
  </si>
  <si>
    <t>Yusuf, Abdullahi/0000-0002-8308-7943; Musa, Salihu Sabiu/0000-0001-6335-2335; ABU-ODAH, Hammoda/0000-0002-8874-2599; Zhao, Shi/0000-0001-8722-6149</t>
  </si>
  <si>
    <t>10.1016/j.rinp.2022.105653</t>
  </si>
  <si>
    <t>WOS:000810541800007</t>
  </si>
  <si>
    <t>Al-deiakeh, R; Alquran, M; Ali, M; Yusuf, A; Momani, S</t>
  </si>
  <si>
    <t>Al-deiakeh, Rawya; Alquran, Marwan; Ali, Mohammed; Yusuf, Abdullahi; Momani, Shaher</t>
  </si>
  <si>
    <t>On group of Lie symmetry analysis, explicit series solutions and conservation laws for the time-fractional (2+1)-dimensional Zakharov-Kuznetsov (q, p, r) equation</t>
  </si>
  <si>
    <t>Alquran, Marwan/IUP-3798-2023</t>
  </si>
  <si>
    <t>Alquran, Marwan/0000-0003-3901-9270; Al-deiakeh, Rawya/0009-0008-7160-2232</t>
  </si>
  <si>
    <t>10.1016/j.geomphys.2022.104512</t>
  </si>
  <si>
    <t>WOS:000794865700014</t>
  </si>
  <si>
    <t>Asjad, MI; Zahid, M; Inc, M; Baleanu, D; Almohsen, B</t>
  </si>
  <si>
    <t>Asjad, Muhammad Imran; Zahid, Muhammad; Inc, Mustafa; Baleanu, Dumitru; Almohsen, Bandar</t>
  </si>
  <si>
    <t>Impact of activation energy and MHD on Williamson fluid flow in the presence of bioconvection</t>
  </si>
  <si>
    <t>Baleanu, Dumitru/B-9936-2012; Bin-Mohsin, Bandar/C-7273-2018; Zahid, Muhammad/ABC-2983-2021</t>
  </si>
  <si>
    <t>Baleanu, Dumitru/0000-0002-0286-7244; Bin-Mohsin, Bandar/0000-0002-2160-4159; Zahid, Muhammad/0000-0003-2266-2964</t>
  </si>
  <si>
    <t>10.1016/j.aej.2022.02.013</t>
  </si>
  <si>
    <t>WOS:000806224800003</t>
  </si>
  <si>
    <t>Al-Deiakeh, R; Ali, M; Alquran, M; Sulaiman, TA; Momani, S; Al-Smadi, M</t>
  </si>
  <si>
    <t>Al-Deiakeh, Rawya; Ali, Mohammed; Alquran, Marwan; Sulaiman, Tukur A.; Momani, Shaher; Al-Smadi, Mohammed</t>
  </si>
  <si>
    <t>ON FINDING CLOSED-FORM SOLUTIONS TO SOME NONLINEAR FRACTIONAL SYSTEMS VIA THE COMBINATION OF MULTI-LAPLACE TRANSFORM AND THE ADOMIAN DECOMPOSITION METHOD</t>
  </si>
  <si>
    <t>Al-Smadi, Mohammed/F-5380-2017; Alquran, Marwan/IUP-3798-2023; SULAIMAN, TUKUR ABDULKADIR/GSD-2604-2022</t>
  </si>
  <si>
    <t>Al-Smadi, Mohammed/0000-0003-0226-7254; Alquran, Marwan/0000-0003-3901-9270; Al-deiakeh, Rawya/0009-0008-7160-2232</t>
  </si>
  <si>
    <t>WOS:000805505200004</t>
  </si>
  <si>
    <t>Cinar, M; Onder, I; Secer, A; Bayram, M; Yusuf, A; Sulaiman, TA</t>
  </si>
  <si>
    <t>Cinar, Melih; Onder, Ismail; Secer, Aydin; Bayram, Mustafa; Yusuf, Abdullahi; Sulaiman, Tukur Abdulkadir</t>
  </si>
  <si>
    <t>A comparison of analytical solutions of nonlinear complex generalized Zakharov dynamical system for various definitions of the differential operator</t>
  </si>
  <si>
    <t>ELECTRONIC RESEARCH ARCHIVE</t>
  </si>
  <si>
    <t>Bayram, Mustafa/AAA-4023-2020; Cinar, Melih/AAZ-4661-2020; Önder, İsmail/AAZ-4533-2020; SULAIMAN, TUKUR ABDULKADIR/GSD-2604-2022; Secer, Aydin/C-5913-2013</t>
  </si>
  <si>
    <t>Bayram, Mustafa/0000-0002-2994-7201; Cinar, Melih/0000-0002-4684-3631; Önder, İsmail/0000-0001-8380-6381; Secer, Aydin/0000-0002-8372-2441</t>
  </si>
  <si>
    <t>2688-1594</t>
  </si>
  <si>
    <t>10.3934/era.2022018</t>
  </si>
  <si>
    <t>WOS:000806762600018</t>
  </si>
  <si>
    <t>Optical solitons with nonlinear dispersion in parabolic law medium and three-component coupled nonlinear Schrodinger equation</t>
  </si>
  <si>
    <t>ALSHOMRANI, ALI SALEH/Q-4236-2017; Baleanu, Dumitru/B-9936-2012; SULAIMAN, TUKUR ABDULKADIR/GSD-2604-2022</t>
  </si>
  <si>
    <t>ALSHOMRANI, ALI SALEH/0000-0001-9222-8915; Baleanu, Dumitru/0000-0002-0286-7244;</t>
  </si>
  <si>
    <t>10.1007/s11082-022-03794-6</t>
  </si>
  <si>
    <t>WOS:000807365600007</t>
  </si>
  <si>
    <t>Afif, B; Merabet, B; Inc, M; Menni, Y; Alsharif, S; Althobaiti, A; Aly, AA</t>
  </si>
  <si>
    <t>Afif, Benameur; Merabet, Boualem; Inc, Mustafa; Menni, Younes; Alsharif, Sameer; Althobaiti, Ahmed; Aly, Ayman A.</t>
  </si>
  <si>
    <t>An Improved Solar Cooling System for Date Safety and Storage under Climate of the Maghreb</t>
  </si>
  <si>
    <t>INTERNATIONAL JOURNAL OF PHOTOENERGY</t>
  </si>
  <si>
    <t>Aly, Ayman A./AAZ-9459-2021; Althobaiti, Ahmed/HNQ-6430-2023; Menni, Younes/IST-9002-2023; Inc, Mustafa/C-4307-2018</t>
  </si>
  <si>
    <t>Aly, Ayman A./0000-0002-8383-8014; Menni, Younes/0000-0003-1475-3743; Inc, Mustafa/0000-0003-4996-8373; Alsharif, Sameer/0000-0001-7547-2190</t>
  </si>
  <si>
    <t>1110-662X</t>
  </si>
  <si>
    <t>1687-529X</t>
  </si>
  <si>
    <t>MAY 23</t>
  </si>
  <si>
    <t>10.1155/2022/4799841</t>
  </si>
  <si>
    <t>WOS:000807798600001</t>
  </si>
  <si>
    <t>Cinar, M; Secer, A; Ozisik, M; Bayram, M</t>
  </si>
  <si>
    <t>Cinar, Melih; Secer, Aydin; Ozisik, Muslum; Bayram, Mustafa</t>
  </si>
  <si>
    <t>Derivation of optical solitons of dimensionless Fokas-Lenells equation with perturbation term using Sardar sub-equation method</t>
  </si>
  <si>
    <t>Cinar, Melih/AAZ-4661-2020; Bayram, Mustafa/AAA-4023-2020; Ozisik, Muslum/AFQ-8653-2022; Secer, Aydin/C-5913-2013</t>
  </si>
  <si>
    <t>Cinar, Melih/0000-0002-4684-3631; Bayram, Mustafa/0000-0002-2994-7201; Ozisik, Muslum/0000-0001-6143-5380; Secer, Aydin/0000-0002-8372-2441</t>
  </si>
  <si>
    <t>10.1007/s11082-022-03819-0</t>
  </si>
  <si>
    <t>WOS:000806822700002</t>
  </si>
  <si>
    <t>Rehman, SU; Bilal, M; Inc, M; Younas, U; Rezazadeh, H; Younis, M; Mirhosseini-Alizamini, SM</t>
  </si>
  <si>
    <t>Rehman, S. U.; Bilal, M.; Inc, Mustafa; Younas, U.; Rezazadeh, H.; Younis, M.; Mirhosseini-Alizamini, S. M.</t>
  </si>
  <si>
    <t>Investigation of pure-cubic optical solitons in nonlinear optics</t>
  </si>
  <si>
    <t>Mirhosseini-Alizamini, Seyed Mehdi/AAB-5390-2022; Rezazadeh, Hadi/AAB-2926-2020; younas, usman/GNP-1103-2022; Inc, Mustafa/C-4307-2018</t>
  </si>
  <si>
    <t>Mirhosseini-Alizamini, Seyed Mehdi/0000-0003-1433-3124; Rezazadeh, Hadi/0000-0003-3800-8406; Inc, Mustafa/0000-0003-4996-8373</t>
  </si>
  <si>
    <t>10.1007/s11082-022-03814-5</t>
  </si>
  <si>
    <t>WOS:000806822700003</t>
  </si>
  <si>
    <t>Refice, A; Inc, M; Hashemi, MS; Souid, MS</t>
  </si>
  <si>
    <t>Refice, Ahmed; Inc, Mustafa; Hashemi, Mir Sajjad; Souid, Mohammed Said</t>
  </si>
  <si>
    <t>Boundary value problem of Riemann-Liouville fractional differential equations in the variable exponent Lebesgue spaces Lp(.)</t>
  </si>
  <si>
    <t>Hashemi, Mir Sajjad/M-4081-2015; Inc, Mustafa/C-4307-2018</t>
  </si>
  <si>
    <t>10.1016/j.geomphys.2022.104554</t>
  </si>
  <si>
    <t>WOS:000802803800005</t>
  </si>
  <si>
    <t>Javeed, S; Inc, M; Abbasi, MA; Mahmoud, KH; Zafar, ZU; Razzaq, S</t>
  </si>
  <si>
    <t>Javeed, Shumaila; Inc, Mustafa; Abbasi, Muhammad Awais; Mahmoud, K. H.; Zafar, Zain Ul Abadin; Razzaq, Sohail</t>
  </si>
  <si>
    <t>Soliton solutions of some nonlinear evolution equations in shallow water theory</t>
  </si>
  <si>
    <t>Mahmoud, khaled/ADR-3236-2022; Razzaq, Sohail/AAC-9803-2019</t>
  </si>
  <si>
    <t>Mahmoud, khaled/0000-0002-0416-6986; Razzaq, Sohail/0000-0001-9243-4145</t>
  </si>
  <si>
    <t>10.1016/j.rinp.2022.105546</t>
  </si>
  <si>
    <t>WOS:000803874800003</t>
  </si>
  <si>
    <t>Yao, SW; Manzoor, R; Zafar, A; Inc, M; Abbagari, S; Houwe, A</t>
  </si>
  <si>
    <t>Yao, Shao-Wen; Manzoor, Raheela; Zafar, Asim; Inc, Mustafa; Abbagari, Souleymanou; Houwe, Alphonse</t>
  </si>
  <si>
    <t>Exact soliton solutions to the Cahn-Allen equation and Predator-Prey model with truncated M-fractional derivative</t>
  </si>
  <si>
    <t>10.1016/j.rinp.2022.105455</t>
  </si>
  <si>
    <t>WOS:000803761200010</t>
  </si>
  <si>
    <t>Ozisik, M; Cinar, M; Secer, A; Bayram, M</t>
  </si>
  <si>
    <t>Ozisik, Muslum; Cinar, Melih; Secer, Aydin; Bayram, Mustafa</t>
  </si>
  <si>
    <t>Optical solitons with Kudryashov's sextic power-law nonlinearity</t>
  </si>
  <si>
    <t>Ozisik, Muslum/AFQ-8653-2022; Bayram, Mustafa/AAA-4023-2020; Secer, Aydin/C-5913-2013; Cinar, Melih/AAZ-4661-2020</t>
  </si>
  <si>
    <t>Ozisik, Muslum/0000-0001-6143-5380; Bayram, Mustafa/0000-0002-2994-7201; Secer, Aydin/0000-0002-8372-2441; Cinar, Melih/0000-0002-4684-3631</t>
  </si>
  <si>
    <t>10.1016/j.ijleo.2022.169202</t>
  </si>
  <si>
    <t>WOS:000800407900012</t>
  </si>
  <si>
    <t>Zafar, A; Raheel, M; Ali, KK; Inc, M; Qaisar, A</t>
  </si>
  <si>
    <t>Zafar, Asim; Raheel, M.; Ali, Khalid K.; Inc, Mustafa; Qaisar, Anoosha</t>
  </si>
  <si>
    <t>Optical solitons to the Kundu-Mukherjee-Naskar equation in (2+1)-dimensional form via two analytical techniques</t>
  </si>
  <si>
    <t>JOURNAL OF LASER APPLICATIONS</t>
  </si>
  <si>
    <t>Ali, Khalid K./W-3074-2018; Zafar, Asim/J-7905-2018; Inc, Mustafa/C-4307-2018</t>
  </si>
  <si>
    <t>Ali, Khalid K./0000-0002-7801-2760; Zafar, Asim/0000-0003-2242-8529; Inc, Mustafa/0000-0003-4996-8373; Raheel, Muhammad/0000-0002-6088-1108</t>
  </si>
  <si>
    <t>1042-346X</t>
  </si>
  <si>
    <t>1938-1387</t>
  </si>
  <si>
    <t>10.2351/7.0000639</t>
  </si>
  <si>
    <t>WOS:000802867500001</t>
  </si>
  <si>
    <t>Nisar, KS; Alsallami, SAM; Inc, M; Iqbal, MS; Baber, MZ; Tarar, MA</t>
  </si>
  <si>
    <t>Nisar, Kottakkaran Sooppy; Alsallami, Shami Ali Mohammed; Inc, Mustafa; Iqbal, Muhammad Sajid; Baber, Muhammad Zafarullah; Tarar, Muhammad Akhtar</t>
  </si>
  <si>
    <t>On the exact solutions of nonlinear extended Fisher-Kolmogorov equation by using the He's variational approach</t>
  </si>
  <si>
    <t>AIMS MATHEMATICS</t>
  </si>
  <si>
    <t>Nisar, Kottakkaran Sooppy/F-7559-2015; Alsallami, Shami/AGX-3474-2022</t>
  </si>
  <si>
    <t>Nisar, Kottakkaran Sooppy/0000-0001-5769-4320; Alsallami, Shami/0000-0001-5480-9866</t>
  </si>
  <si>
    <t>2473-6988</t>
  </si>
  <si>
    <t>10.3934/math.2022766</t>
  </si>
  <si>
    <t>WOS:000803773800003</t>
  </si>
  <si>
    <t>Houwe, A; Inc, M; Doka, SY</t>
  </si>
  <si>
    <t>Houwe, Alphonse; Inc, Mustafa; Doka, Serge Yamigno</t>
  </si>
  <si>
    <t>Breather-like soliton, M-shaped profile, W-shaped profile, and modulation instability conducted by self-frequency shift of the nonlinear Schrodinger equation</t>
  </si>
  <si>
    <t>JOURNAL OF COMPUTATIONAL ELECTRONICS</t>
  </si>
  <si>
    <t>1569-8025</t>
  </si>
  <si>
    <t>1572-8137</t>
  </si>
  <si>
    <t>10.1007/s10825-022-01888-8</t>
  </si>
  <si>
    <t>WOS:000803787100001</t>
  </si>
  <si>
    <t>Hussain, M; Ali, A; Inc, M; Sene, N; Hussan, M</t>
  </si>
  <si>
    <t>Hussain, Majid; Ali, Akhtar; Inc, Mustafa; Sene, Ndolane; Hussan, Muhammad</t>
  </si>
  <si>
    <t>Impacts of Chemical Reaction and Suction/Injection on the Mixed Convective Williamson Fluid past a Penetrable Porous Wedge</t>
  </si>
  <si>
    <t>JOURNAL OF MATHEMATICS</t>
  </si>
  <si>
    <t>Sene, Ndolane Nsene/E-6809-2019; Sene, Ndolane Nsene/GQA-8357-2022; Hussain, Majid/JLL-8666-2023; Inc, Mustafa/C-4307-2018</t>
  </si>
  <si>
    <t>Sene, Ndolane Nsene/0000-0002-8664-6464; Sene, Ndolane Nsene/0000-0002-8664-6464; Hussain, Majid/0000-0003-4391-5078; Inc, Mustafa/0000-0003-4996-8373</t>
  </si>
  <si>
    <t>2314-4629</t>
  </si>
  <si>
    <t>2314-4785</t>
  </si>
  <si>
    <t>MAY 9</t>
  </si>
  <si>
    <t>10.1155/2022/3233964</t>
  </si>
  <si>
    <t>WOS:000802765700002</t>
  </si>
  <si>
    <t>Ayhan-Sahin, B; Apaydin, ZE; Obakan-Yerlikaya, P; Arisan, ED; Coker-Gurkan, A</t>
  </si>
  <si>
    <t>Ayhan-Sahin, Burcu; Apaydin, Zeynep-Elif; Obakan-Yerlikaya, Pinar; Arisan, Elif-Damla; Coker-Gurkan, Ajda</t>
  </si>
  <si>
    <t>Synthesis and characterization of novel ssDNA X-aptamers targeting Growth Hormone Releasing Hormone (GHRH)</t>
  </si>
  <si>
    <t>OBAKAN YERLIKAYA, PINAR/0000-0001-7058-955X; Gurkan, Ajda/0000-0003-1475-2417</t>
  </si>
  <si>
    <t>JAN 21</t>
  </si>
  <si>
    <t>10.1371/journal.pone.0260144</t>
  </si>
  <si>
    <t>WOS:000791072800015</t>
  </si>
  <si>
    <t>Dark, bright and singular optical solutions of the Kaup-Newell model with two analytical integration schemes</t>
  </si>
  <si>
    <t>Secer, Aydin/C-5913-2013; Ozisik, Muslum/AFQ-8653-2022; Bayram, Mustafa/AAA-4023-2020; Esen, Handenur/AAZ-4535-2020</t>
  </si>
  <si>
    <t>Secer, Aydin/0000-0002-8372-2441; Ozisik, Muslum/0000-0001-6143-5380; Bayram, Mustafa/0000-0002-2994-7201;</t>
  </si>
  <si>
    <t>10.1016/j.ijleo.2022.169110</t>
  </si>
  <si>
    <t>WOS:000800420300006</t>
  </si>
  <si>
    <t>Zhang, XZ; Siddique, I; Mehdi, KB; Elmandouh, AA; Inc, M</t>
  </si>
  <si>
    <t>Zhang, Xiao-Zhong; Siddique, Imran; Mehdi, Khush Bukht; Elmandouh, A. A.; Inc, Mustafa</t>
  </si>
  <si>
    <t>Novel exact solutions, bifurcation of nonlinear and supernonlinear traveling waves for M-fractional generalized reaction Duffing model and the density dependent M-fractional diffusion reaction equation</t>
  </si>
  <si>
    <t>Siddique, Imran/ACG-3403-2022; Zhang, XZ/HJA-4189-2022; Zhang, Xiaoyu/GQQ-1959-2022</t>
  </si>
  <si>
    <t>Siddique, Imran/0000-0002-5060-7906;</t>
  </si>
  <si>
    <t>10.1016/j.rinp.2022.105485</t>
  </si>
  <si>
    <t>WOS:000798983300006</t>
  </si>
  <si>
    <t>Gomez, SCA; Roshid, HO; Inc, M; Akinyemi, L; Rezazadeh, H</t>
  </si>
  <si>
    <t>Gomez, Cesar A. S.; Roshid, Harun-Or; Inc, Mustafa; Akinyemi, Lanre; Rezazadeh, Hadi</t>
  </si>
  <si>
    <t>On soliton solutions for perturbed Fokas-Lenells equation</t>
  </si>
  <si>
    <t>Rezazadeh, Hadi/AAB-2926-2020; Akinyemi, Lanre/AAY-4403-2020; , Harun-Or-Roshid/X-7892-2019; Inc, Mustafa/C-4307-2018</t>
  </si>
  <si>
    <t>Rezazadeh, Hadi/0000-0003-3800-8406; Akinyemi, Lanre/0000-0002-5920-250X; , Harun-Or-Roshid/0000-0002-1687-623X; Inc, Mustafa/0000-0003-4996-8373</t>
  </si>
  <si>
    <t>10.1007/s11082-022-03796-4</t>
  </si>
  <si>
    <t>WOS:000798616900002</t>
  </si>
  <si>
    <t>Ozisik, Muslum; Secer, Aydin; Bayram, Mustafa; Yusuf, Abdullahi; Sulaiman, Tukur Abdulkadir</t>
  </si>
  <si>
    <t>On the analytical optical soliton solutions of perturbed Radhakrishnan-Kundu-Lakshmanan model with Kerr law nonlinearity</t>
  </si>
  <si>
    <t>Bayram, Mustafa/AAA-4023-2020; Secer, Aydin/C-5913-2013; Ozisik, Muslum/AFQ-8653-2022; SULAIMAN, TUKUR ABDULKADIR/GSD-2604-2022</t>
  </si>
  <si>
    <t>Bayram, Mustafa/0000-0002-2994-7201; Secer, Aydin/0000-0002-8372-2441; Ozisik, Muslum/0000-0001-6143-5380;</t>
  </si>
  <si>
    <t>10.1007/s11082-022-03795-5</t>
  </si>
  <si>
    <t>WOS:000798616900001</t>
  </si>
  <si>
    <t>Ali, A; Hussain, M; Inc, M; Hussan, M; Ul Rahman, J</t>
  </si>
  <si>
    <t>Ali, Akhtar; Hussain, Majid; Inc, Mustafa; Hussan, Muhammad; Ul Rahman, Jamshaid</t>
  </si>
  <si>
    <t>Numerical solution and mathematical modelling of mass transport from medicated stent</t>
  </si>
  <si>
    <t>Rahman, Jamshaid Ul/AAN-3191-2021; Hussain, Majid/JLL-8666-2023; Inc, Mustafa/C-4307-2018</t>
  </si>
  <si>
    <t>Rahman, Jamshaid Ul/0000-0001-8642-0660; Hussain, Majid/0000-0003-4391-5078; Inc, Mustafa/0000-0003-4996-8373</t>
  </si>
  <si>
    <t>JUN 1</t>
  </si>
  <si>
    <t>10.1088/1402-4896/ac6f8d</t>
  </si>
  <si>
    <t>WOS:000800013900001</t>
  </si>
  <si>
    <t>Sarhir, ST; Amanpour, A; Bouseta, A; Selli, S</t>
  </si>
  <si>
    <t>Tsouli Sarhir, Salwa; Amanpour, Asghar; Bouseta, Amina; Selli, Serkan</t>
  </si>
  <si>
    <t>Potent odorants and sensory characteristics of the soft white cheese Jben: Effect of salt content</t>
  </si>
  <si>
    <t>FLAVOUR AND FRAGRANCE JOURNAL</t>
  </si>
  <si>
    <t>Amanpour, Armin/O-3199-2018; selli, serkan/AAR-1173-2020</t>
  </si>
  <si>
    <t>Amanpour, Armin/0000-0001-9783-691X; selli, serkan/0000-0003-0450-2668; Tsouli Sarhir, Salwa/0000-0002-0502-7136</t>
  </si>
  <si>
    <t>0882-5734</t>
  </si>
  <si>
    <t>1099-1026</t>
  </si>
  <si>
    <t>10.1002/ffj.3696</t>
  </si>
  <si>
    <t>WOS:000797061400001</t>
  </si>
  <si>
    <t>Ozdemir, N; Esen, H; Secer, A; Bayram, M</t>
  </si>
  <si>
    <t>Ozdemir, Neslihan; Esen, Handenur; Secer, Aydin; Bayram, Mustafa</t>
  </si>
  <si>
    <t>Novel soliton solutions of Sasa-Satsuma model with local derivative via an analytical technique</t>
  </si>
  <si>
    <t>Esen, Handenur/AAZ-4535-2020; Secer, Aydin/C-5913-2013; Ozdemir, Neslihan/GZN-2279-2022; Bayram, Mustafa/AAA-4023-2020</t>
  </si>
  <si>
    <t>Secer, Aydin/0000-0002-8372-2441; Bayram, Mustafa/0000-0002-2994-7201; Ozdemir, Neslihan/0000-0003-1649-0625</t>
  </si>
  <si>
    <t>10.2351/7.0000623</t>
  </si>
  <si>
    <t>WOS:000795965900001</t>
  </si>
  <si>
    <t>Raheel, M; Inc, M; Tala-Tebue, E; Bayram, M</t>
  </si>
  <si>
    <t>Raheel, M.; Inc, Mustafa; Tala-Tebue, E.; Bayram, Mustafa</t>
  </si>
  <si>
    <t>Optical solitons of the Kudryashov Equation via an analytical technique</t>
  </si>
  <si>
    <t>Bayram, Mustafa/AAA-4023-2020; Inc, Mustafa/C-4307-2018</t>
  </si>
  <si>
    <t>10.1007/s11082-022-03728-2</t>
  </si>
  <si>
    <t>WOS:000794956800019</t>
  </si>
  <si>
    <t>Rashid, M; Kalsoom, A; Sager, M; Inc, M; Baleanu, D; Alshomrani, AS</t>
  </si>
  <si>
    <t>Rashid, Maliha; Kalsoom, Amna; Sager, Maria; Inc, Mustafa; Baleanu, Dumitru; Alshomrani, Ali S.</t>
  </si>
  <si>
    <t>Mellin transform for fractional integrals with general analytic kernel</t>
  </si>
  <si>
    <t>ALSHOMRANI, ALI SALEH/Q-4236-2017; Baleanu, Dumitru/B-9936-2012</t>
  </si>
  <si>
    <t>10.3934/math.2022524</t>
  </si>
  <si>
    <t>WOS:000794129400012</t>
  </si>
  <si>
    <t>Ozdemir, N; Esen, H; Secer, A; Bayram, M; Yusuf, A; Sulaiman, TA</t>
  </si>
  <si>
    <t>Ozdemir, Neslihan; Esen, Handenur; Secer, Aydin; Bayram, Mustafa; Yusuf, Abdullahi; Sulaiman, Tukur Abdulkadir</t>
  </si>
  <si>
    <t>Optical solitons and other solutions to the Hirota-Maccari system with conformable, M-truncated and beta derivatives</t>
  </si>
  <si>
    <t>Bayram, Mustafa/AAA-4023-2020; Yusuf, Abdullahi/L-9956-2018; Ozdemir, Neslihan/GZN-2279-2022; Secer, Aydin/C-5913-2013; Esen, Handenur/AAZ-4535-2020; SULAIMAN, TUKUR ABDULKADIR/GSD-2604-2022</t>
  </si>
  <si>
    <t>Bayram, Mustafa/0000-0002-2994-7201; Yusuf, Abdullahi/0000-0002-8308-7943; Secer, Aydin/0000-0002-8372-2441; Ozdemir, Neslihan/0000-0003-1649-0625</t>
  </si>
  <si>
    <t>APR 20</t>
  </si>
  <si>
    <t>10.1142/S0217984921506259</t>
  </si>
  <si>
    <t>WOS:000792822100004</t>
  </si>
  <si>
    <t>Hussain, M; Ali, A; Yao, SW; Ghaffar, A; Inc, M</t>
  </si>
  <si>
    <t>Hussain, Majid; Ali, Akhtar; Yao, Shao-Wen; Ghaffar, Abdul; Inc, Mustafa</t>
  </si>
  <si>
    <t>Numerical investigation of ohmically dissipated mixed convective flow</t>
  </si>
  <si>
    <t>CASE STUDIES IN THERMAL ENGINEERING</t>
  </si>
  <si>
    <t>Hussain, Majid/JLL-8666-2023; Ghaffar, Abdul/AAB-3751-2020; Inc, Mustafa/C-4307-2018</t>
  </si>
  <si>
    <t>Hussain, Majid/0000-0003-4391-5078; Ghaffar, Abdul/0000-0002-5994-8440; Inc, Mustafa/0000-0003-4996-8373</t>
  </si>
  <si>
    <t>2214-157X</t>
  </si>
  <si>
    <t>MAR</t>
  </si>
  <si>
    <t>10.1016/j.csite.2022.101809</t>
  </si>
  <si>
    <t>WOS:000789925900001</t>
  </si>
  <si>
    <t>Menni, Y; Ahmad, H; Ameur, H; Askar, S; Botmart, T; Bayram, M; Lorenzini, G</t>
  </si>
  <si>
    <t>Menni, Younes; Ahmad, Hijaz; Ameur, Houari; Askar, Sameh; Botmart, Thongchai; Bayram, Mustafa; Lorenzini, Giulio</t>
  </si>
  <si>
    <t>Effects of two-equation turbulence models on the convective instability in finned channel heat exchangers</t>
  </si>
  <si>
    <t>Ahmad, Hijaz/H-5958-2018; Ameur, Houari/AEZ-9093-2022; Menni, Younes/IST-9002-2023; Askar, Sameh/ABA-6011-2020; Bayram, Mustafa/AAA-4023-2020</t>
  </si>
  <si>
    <t>Ahmad, Hijaz/0000-0002-5438-5407; Ameur, Houari/0000-0003-2087-7574; Menni, Younes/0000-0003-1475-3743; Askar, Sameh/0000-0002-1167-2430; Bayram, Mustafa/0000-0002-2994-7201; Lorenzini, Giulio/0000-0002-5676-8575</t>
  </si>
  <si>
    <t>10.1016/j.csite.2022.101824</t>
  </si>
  <si>
    <t>WOS:000789925900003</t>
  </si>
  <si>
    <t>Afzal, U; Raza, N; Sial, S; Inc, M</t>
  </si>
  <si>
    <t>Afzal, Usman; Raza, Nauman; Sial, Sultan; Inc, Mustafa</t>
  </si>
  <si>
    <t>A novel approach of numerical optimization for control theory problems based on generalization of Gigena's method</t>
  </si>
  <si>
    <t>ASIAN JOURNAL OF CONTROL</t>
  </si>
  <si>
    <t>Afzal, Usman/AAF-1902-2020; Raza, Nauman/ADU-2858-2022; Inc, Mustafa/C-4307-2018</t>
  </si>
  <si>
    <t>Afzal, Usman/0000-0001-8742-1921; Inc, Mustafa/0000-0003-4996-8373</t>
  </si>
  <si>
    <t>1561-8625</t>
  </si>
  <si>
    <t>1934-6093</t>
  </si>
  <si>
    <t>10.1002/asjc.2837</t>
  </si>
  <si>
    <t>WOS:000789179400001</t>
  </si>
  <si>
    <t>Nisar, KS; Ali, KK; Inc, M; Mehanna, MS; Rezazadeh, H; Akinyemi, L</t>
  </si>
  <si>
    <t>Nisar, Kottakkaran Sooppy; Ali, Khalid K.; Inc, Mustafa; Mehanna, M. S.; Rezazadeh, Hadi; Akinyemi, Lanre</t>
  </si>
  <si>
    <t>New solutions for the generalized resonant nonlinear Schrodinger equation</t>
  </si>
  <si>
    <t>Akinyemi, Lanre/AAY-4403-2020; Ali, Khalid K./W-3074-2018; Nisar, Kottakkaran Sooppy/F-7559-2015; Rezazadeh, Hadi/AAB-2926-2020; Inc, Mustafa/C-4307-2018</t>
  </si>
  <si>
    <t>Akinyemi, Lanre/0000-0002-5920-250X; Ali, Khalid K./0000-0002-7801-2760; Nisar, Kottakkaran Sooppy/0000-0001-5769-4320; Rezazadeh, Hadi/0000-0003-3800-8406; Inc, Mustafa/0000-0003-4996-8373</t>
  </si>
  <si>
    <t>FEB</t>
  </si>
  <si>
    <t>10.1016/j.rinp.2021.105153</t>
  </si>
  <si>
    <t>WOS:000786368400014</t>
  </si>
  <si>
    <t>Emre, TY; Celik, HK; Arik, HO; Rennie, AEW; Kose, O</t>
  </si>
  <si>
    <t>Emre, Tuluhan Yunus; Celik, Huseyin Kursat; Arik, Hasan O.; Rennie, Allan E. W.; Kose, Ozkan</t>
  </si>
  <si>
    <t>Effect of coronal fracture angle on the stability of screw fixation in medial malleolar fractures: A finite element analysis</t>
  </si>
  <si>
    <t>PROCEEDINGS OF THE INSTITUTION OF MECHANICAL ENGINEERS PART H-JOURNAL OF ENGINEERING IN MEDICINE</t>
  </si>
  <si>
    <t>Celik, Huseyin Kursat/C-6846-2016; Kose, Ozkan/P-8732-2016</t>
  </si>
  <si>
    <t>Celik, Huseyin Kursat/0000-0001-8154-6993; Kose, Ozkan/0000-0002-7679-9635</t>
  </si>
  <si>
    <t>0954-4119</t>
  </si>
  <si>
    <t>2041-3033</t>
  </si>
  <si>
    <t>10.1177/09544119221089723</t>
  </si>
  <si>
    <t>WOS:000786624400001</t>
  </si>
  <si>
    <t>Nisar, KS; Inan, IE; Yepez-Martinez, H; Inc, M</t>
  </si>
  <si>
    <t>Nisar, Kottakkaran Sooppy; Inan, Ibrahim E.; Yepez-Martinez, H.; Inc, Mustafa</t>
  </si>
  <si>
    <t>Some new type optical and the other soliton solutions of coupled nonlinear Hirota equation</t>
  </si>
  <si>
    <t>Nisar, Kottakkaran Sooppy/F-7559-2015</t>
  </si>
  <si>
    <t>Nisar, Kottakkaran Sooppy/0000-0001-5769-4320; Yepez-Martinez, Huitzilin/0000-0002-8532-5669</t>
  </si>
  <si>
    <t>10.1016/j.rinp.2022.105388</t>
  </si>
  <si>
    <t>WOS:000775917800034</t>
  </si>
  <si>
    <t>Zafar, ZU; Hussain, MT; Inc, M; Baleanu, D; Almohsen, B; Oke, AS; Javed, S</t>
  </si>
  <si>
    <t>Zafar, Zain Ul Abadin; Hussain, M. T.; Inc, Mustafa; Baleanu, Dumitru; Almohsen, Bandar; Oke, Abayomi S.; Javed, Shumaila</t>
  </si>
  <si>
    <t>Fractional-order dynamics of human papillomavirus</t>
  </si>
  <si>
    <t>OKE, Abayomi Samuel/AAV-8470-2020; Baleanu, Dumitru/B-9936-2012; Bin-Mohsin, Bandar/C-7273-2018</t>
  </si>
  <si>
    <t>OKE, Abayomi Samuel/0000-0003-3903-4112; Baleanu, Dumitru/0000-0002-0286-7244; Bin-Mohsin, Bandar/0000-0002-2160-4159; Hussain, Muhammad Tanveer/0000-0003-0884-3056</t>
  </si>
  <si>
    <t>10.1016/j.rinp.2022.105281</t>
  </si>
  <si>
    <t>WOS:000779286100013</t>
  </si>
  <si>
    <t>Houwe, A; Abbagari, S; Inc, M; Betchewe, G; Doka, SY; Crépin, KT</t>
  </si>
  <si>
    <t>Houwe, Alphonse; Abbagari, Souleymanou; Inc, Mustafa; Betchewe, Gambo; Doka, Serge Y.; Crepin, Kofane T.</t>
  </si>
  <si>
    <t>Envelope solitons of the nonlinear discrete vertical dust grain oscillation in dusty plasma crystals</t>
  </si>
  <si>
    <t>10.1016/j.chaos.2021.111640</t>
  </si>
  <si>
    <t>WOS:000784334900006</t>
  </si>
  <si>
    <t>Nisar, KS; Akinyemi, L; Inc, M; Senol, M; Mirzazadeh, M; Houwe, A; Abbagari, S; Rezazadeh, H</t>
  </si>
  <si>
    <t>Nisar, Kottakkaran Sooppy; Akinyemi, Lanre; Inc, Mustafa; Senol, Mehmet; Mirzazadeh, Mohammad; Houwe, Alphonse; Abbagari, Souleymanou; Rezazadeh, Hadi</t>
  </si>
  <si>
    <t>New perturbed conformable Boussinesq-like equation: Soliton and other solutions</t>
  </si>
  <si>
    <t>Akinyemi, Lanre/AAY-4403-2020; Nisar, Kottakkaran Sooppy/F-7559-2015; Şenol, Mehmet/ABA-3871-2020; Rezazadeh, Hadi/AAB-2926-2020; Mirzazadeh, Mohammad/Y-3202-2019; Inc, Mustafa/C-4307-2018</t>
  </si>
  <si>
    <t>Akinyemi, Lanre/0000-0002-5920-250X; Nisar, Kottakkaran Sooppy/0000-0001-5769-4320; Şenol, Mehmet/0000-0001-8110-7739; Rezazadeh, Hadi/0000-0003-3800-8406; Inc, Mustafa/0000-0003-4996-8373</t>
  </si>
  <si>
    <t>10.1016/j.rinp.2022.105200</t>
  </si>
  <si>
    <t>WOS:000778429800002</t>
  </si>
  <si>
    <t>Jafari, DA; Baspinar, Y; Ustundas, M; Bayraktar, O; Kara, HG; Sezgin, C</t>
  </si>
  <si>
    <t>Jafari, Duygu Aygunes; Baspinar, Yucel; Ustundas, Mehmet; Bayraktar, Oguz; Kara, Hale Guler; Sezgin, Canfeza</t>
  </si>
  <si>
    <t>Cytotoxicity and Gene Expression Studies of Curcumin and Piperine Loaded Nanoparticles on Breast Cancer Cells</t>
  </si>
  <si>
    <t>RUSSIAN JOURNAL OF APPLIED CHEMISTRY</t>
  </si>
  <si>
    <t>Bayraktar, Oguz/Q-9265-2019; Aygunes Jafari, Duygu/AAI-8470-2020</t>
  </si>
  <si>
    <t>Bayraktar, Oguz/0000-0003-4210-2825;</t>
  </si>
  <si>
    <t>1070-4272</t>
  </si>
  <si>
    <t>1608-3296</t>
  </si>
  <si>
    <t>JAN</t>
  </si>
  <si>
    <t>10.1134/S1070427222010177</t>
  </si>
  <si>
    <t>WOS:000784497500017</t>
  </si>
  <si>
    <t>Jaradat, I; Alquran, M; Sulaiman, TA; Yusuf, A</t>
  </si>
  <si>
    <t>Jaradat, Imad; Alquran, Marwan; Sulaiman, Tukur A.; Yusuf, Abdullahi</t>
  </si>
  <si>
    <t>Analytic simulation of the synergy of spatial-temporal memory indices with proportional time delay</t>
  </si>
  <si>
    <t>Alquran, Marwan/IUP-3798-2023; Jaradat, Imad/GPK-2701-2022; SULAIMAN, TUKUR ABDULKADIR/GSD-2604-2022</t>
  </si>
  <si>
    <t>Alquran, Marwan/0000-0003-3901-9270; Jaradat, Imad/0000-0002-5880-1121;</t>
  </si>
  <si>
    <t>10.1016/j.chaos.2022.111818</t>
  </si>
  <si>
    <t>WOS:000782110200012</t>
  </si>
  <si>
    <t>Arefin, MA; Sadiya, U; Inc, M; Uddin, MH</t>
  </si>
  <si>
    <t>Arefin, Mohammad Asif; Sadiya, Umme; Inc, Mustafa; Uddin, M. Hafiz</t>
  </si>
  <si>
    <t>Adequate soliton solutions to the space-time fractional telegraph equation and modified third-order KdV equation through a reliable technique</t>
  </si>
  <si>
    <t>Arefin, Mohammad Asif/0000-0002-2892-1683; Uddin, Dr. Md. Hafiz/0000-0003-3725-5472</t>
  </si>
  <si>
    <t>10.1007/s11082-022-03640-9</t>
  </si>
  <si>
    <t>WOS:000783044000012</t>
  </si>
  <si>
    <t>Optical solitons of (3+1) dimensional and coupled nonlinear Schrodinger equations</t>
  </si>
  <si>
    <t>Rezazadeh, Hadi/AAB-2926-2020; Akinyemi, Lanre/AAY-4403-2020; Inc, Mustafa/C-4307-2018</t>
  </si>
  <si>
    <t>Rezazadeh, Hadi/0000-0003-3800-8406; Akinyemi, Lanre/0000-0002-5920-250X; Inc, Mustafa/0000-0003-4996-8373</t>
  </si>
  <si>
    <t>10.1007/s11082-022-03599-7</t>
  </si>
  <si>
    <t>WOS:000776243000001</t>
  </si>
  <si>
    <t>10.1007/s11082-022-03613-y</t>
  </si>
  <si>
    <t>WOS:000771563500007</t>
  </si>
  <si>
    <t>Yépez-Martínez, H; Rezazadeh, H; Gómez-Aguilar, JF; Inc, M</t>
  </si>
  <si>
    <t>Yepez-Martinez, H.; Rezazadeh, Hadi; Gomez-Aguilar, J. F.; Inc, Mustafa</t>
  </si>
  <si>
    <t>A new local fractional derivative applied to the analytical solutions for the nonlinear Schrodinger equation with third-order dispersion</t>
  </si>
  <si>
    <t>JOURNAL OF NONLINEAR OPTICAL PHYSICS &amp; MATERIALS</t>
  </si>
  <si>
    <t>Gómez Aguilar, José Francisco/I-7027-2019; Rezazadeh, Hadi/AAB-2926-2020</t>
  </si>
  <si>
    <t>Gómez Aguilar, José Francisco/0000-0001-9403-3767; Rezazadeh, Hadi/0000-0003-3800-8406; Yepez-Martinez, Huitzilin/0000-0002-8532-5669</t>
  </si>
  <si>
    <t>0218-8635</t>
  </si>
  <si>
    <t>1793-6624</t>
  </si>
  <si>
    <t>10.1142/S0218863522500114</t>
  </si>
  <si>
    <t>WOS:000780101900004</t>
  </si>
  <si>
    <t>Houwe, A; Souleymanou, A; Akinyemi, L; Doka, SY; Inc, M</t>
  </si>
  <si>
    <t>Houwe, Alphonse; Souleymanou, Abbagari; Akinyemi, Lanre; Doka, Serge Y.; Inc, Mustafa</t>
  </si>
  <si>
    <t>Discrete breathers incited by the intra-dimers parameter in microtubulin protofilament array</t>
  </si>
  <si>
    <t>APR 15</t>
  </si>
  <si>
    <t>10.1140/epjp/s13360-022-02689-5</t>
  </si>
  <si>
    <t>WOS:000782600600001</t>
  </si>
  <si>
    <t>Cinar, M; Onder, I; Secer, A; Bayram, M; Sulaiman, TA; Yusuf, A</t>
  </si>
  <si>
    <t>Cinar, Melih; Onder, Ismail; Secer, Aydin; Bayram, Mustafa; Sulaiman, Tukur Abdulkadir; Yusuf, Abdullahi</t>
  </si>
  <si>
    <t>Solving the fractional Jaulent-Miodek system via a modified Laplace decomposition method</t>
  </si>
  <si>
    <t>WAVES IN RANDOM AND COMPLEX MEDIA</t>
  </si>
  <si>
    <t>Yusuf, Abdullahi/L-9956-2018; Secer, Aydin/C-5913-2013; Bayram, Mustafa/AAA-4023-2020; Cinar, Melih/AAZ-4661-2020; Önder, İsmail/AAZ-4533-2020; SULAIMAN, TUKUR ABDULKADIR/GSD-2604-2022</t>
  </si>
  <si>
    <t>Yusuf, Abdullahi/0000-0002-8308-7943; Secer, Aydin/0000-0002-8372-2441; Bayram, Mustafa/0000-0002-2994-7201; Cinar, Melih/0000-0002-4684-3631; Önder, İsmail/0000-0001-8380-6381;</t>
  </si>
  <si>
    <t>1745-5030</t>
  </si>
  <si>
    <t>1745-5049</t>
  </si>
  <si>
    <t>2022 APR 2</t>
  </si>
  <si>
    <t>10.1080/17455030.2022.2057613</t>
  </si>
  <si>
    <t>WOS:000777953500001</t>
  </si>
  <si>
    <t>Jaradat, I; Alquran, M; Qureshi, S; Sulaiman, TA; Yusuf, A</t>
  </si>
  <si>
    <t>Jaradat, Imad; Alquran, Marwan; Qureshi, Sania; Sulaiman, Tukur A.; Yusuf, Abdullahi</t>
  </si>
  <si>
    <t>Convex-rogue, half-kink, cusp-soliton and other bidirectional wave-solutions to the generalized Pochhammer-Chree equation</t>
  </si>
  <si>
    <t>Alquran, Marwan/IUP-3798-2023; Yusuf, Abdullahi/L-9956-2018; SULAIMAN, TUKUR ABDULKADIR/GSD-2604-2022; Jaradat, Imad/GPK-2701-2022; Qureshi, Sania/R-6710-2018</t>
  </si>
  <si>
    <t>Alquran, Marwan/0000-0003-3901-9270; Yusuf, Abdullahi/0000-0002-8308-7943; Jaradat, Imad/0000-0002-5880-1121; Qureshi, Sania/0000-0002-7225-2309</t>
  </si>
  <si>
    <t>MAY 1</t>
  </si>
  <si>
    <t>10.1088/1402-4896/ac5f25</t>
  </si>
  <si>
    <t>WOS:000777016200001</t>
  </si>
  <si>
    <t>Batur, LK; Savas, S; Girgin, E; Hekim, N</t>
  </si>
  <si>
    <t>Batur, Lutfiye Karcioglu; Savas, Serdar; Girgin, Erhan; Hekim, Nezih</t>
  </si>
  <si>
    <t>Association of the IL-6R gene polymorphic variant rs2228145(C&gt;A) with IL-6 gene polymorphisms in a healthy cohort of Turkish population</t>
  </si>
  <si>
    <t>GENES AND IMMUNITY</t>
  </si>
  <si>
    <t>Karcioglu Batur, Lutfiye/0000-0002-4803-9137; Girgin, Erhan/0000-0002-5677-8351</t>
  </si>
  <si>
    <t>1466-4879</t>
  </si>
  <si>
    <t>1476-5470</t>
  </si>
  <si>
    <t>3-4</t>
  </si>
  <si>
    <t>10.1038/s41435-022-00167-7</t>
  </si>
  <si>
    <t>WOS:000773170200001</t>
  </si>
  <si>
    <t>Zafar, A; Inc, M; Shakoor, F; Ishaq, M</t>
  </si>
  <si>
    <t>Zafar, Asim; Inc, Mustafa; Shakoor, Faiza; Ishaq, Muhammad</t>
  </si>
  <si>
    <t>Investigation for soliton solutions with some coupled equations</t>
  </si>
  <si>
    <t>Ishaq, Muhammad/O-7990-2015; Zafar, Asim/J-7905-2018; Inc, Mustafa/C-4307-2018</t>
  </si>
  <si>
    <t>10.1007/s11082-022-03639-2</t>
  </si>
  <si>
    <t>WOS:000771563500004</t>
  </si>
  <si>
    <t>Tariq, M; Ahmad, H; Sahoo, SK; Aljoufi, LS; Awan, SK</t>
  </si>
  <si>
    <t>Tariq, Muhammad; Ahmad, Hijaz; Sahoo, Soubhagya Kumar; Aljoufi, Lama Sh; Awan, Sher Khan</t>
  </si>
  <si>
    <t>A novel comprehensive analysis of the refinements of Hermite-Hadamard type integral inequalities involving special functions</t>
  </si>
  <si>
    <t>JOURNAL OF MATHEMATICS AND COMPUTER SCIENCE-JMCS</t>
  </si>
  <si>
    <t>Ahmad, Hijaz/H-5958-2018; SAHOO, SOUBHAGYA KUMAR/GPT-3087-2022; Tariq, Muhammad/AFB-8576-2022</t>
  </si>
  <si>
    <t>Ahmad, Hijaz/0000-0002-5438-5407; SAHOO, SOUBHAGYA KUMAR/0000-0003-4524-1951;</t>
  </si>
  <si>
    <t>2008-949X</t>
  </si>
  <si>
    <t>10.22436/jmcs.026.04.02</t>
  </si>
  <si>
    <t>WOS:000768311700002</t>
  </si>
  <si>
    <t>Akinyemi, L; Inc, M; Khater, MMA; Rezazadeh, H</t>
  </si>
  <si>
    <t>Akinyemi, Lanre; Inc, Mustafa; Khater, Mostafa M. A.; Rezazadeh, Hadi</t>
  </si>
  <si>
    <t>Dynamical behaviour of Chiral nonlinear Schrodinger equation</t>
  </si>
  <si>
    <t>10.1007/s11082-022-03554-6</t>
  </si>
  <si>
    <t>WOS:000761330000002</t>
  </si>
  <si>
    <t>Nisar, KS; Ahmad, A; Inc, M; Farman, M; Rezazadeh, H; Akinyemi, L; Akram, MM</t>
  </si>
  <si>
    <t>Nisar, Kottakkaran Sooppy; Ahmad, Aqeel; Inc, Mustafa; Farman, Muhammad; Rezazadeh, Hadi; Akinyemi, Lanre; Akram, Muhammad Mannan</t>
  </si>
  <si>
    <t>Analysis of dengue transmission using fractional order scheme</t>
  </si>
  <si>
    <t>Ahmad, Dr. Aqeel/GQH-7590-2022; Farman, Muhammad/AAZ-2869-2020; Nisar, Kottakkaran Sooppy/F-7559-2015; Akinyemi, Lanre/AAY-4403-2020; Rezazadeh, Hadi/AAB-2926-2020</t>
  </si>
  <si>
    <t>Farman, Muhammad/0000-0001-7616-0500; Nisar, Kottakkaran Sooppy/0000-0001-5769-4320; Akinyemi, Lanre/0000-0002-5920-250X; Rezazadeh, Hadi/0000-0003-3800-8406</t>
  </si>
  <si>
    <t>10.3934/math.2022469</t>
  </si>
  <si>
    <t>WOS:000767329700007</t>
  </si>
  <si>
    <t>Alqahtani, RT; Yusuf, A</t>
  </si>
  <si>
    <t>Alqahtani, Rubayyi T.; Yusuf, Abdullahi</t>
  </si>
  <si>
    <t>DEVELOPMENT AND ANALYSIS OF A SEIR MODEL FOR COVID-19 EPIDEMIC WITH VACCINATION AND NONSINGULAR KERNEL</t>
  </si>
  <si>
    <t>10.1142/S0218348X22400400</t>
  </si>
  <si>
    <t>WOS:000766635200042</t>
  </si>
  <si>
    <t>Din, A; Li, YJ; Yusuf, A; Ali, AI</t>
  </si>
  <si>
    <t>Din, Anwarud; Li, Yongjin; Yusuf, Abdullahi; Ali, Aliyu Isa</t>
  </si>
  <si>
    <t>CAPUTO TYPE FRACTIONAL OPERATOR APPLIED TO HEPATITIS B SYSTEM</t>
  </si>
  <si>
    <t>Din, Anwarud/CAJ-3276-2022; Yusuf, Abdullahi/L-9956-2018</t>
  </si>
  <si>
    <t>10.1142/S0218348X22400230</t>
  </si>
  <si>
    <t>WOS:000766635200079</t>
  </si>
  <si>
    <t>Khan, A; Ullah, H; Zahri, M; Humphries, UW; Karite, T; Yusuf, A; Ullah, H; Fiza, M</t>
  </si>
  <si>
    <t>Khan, Amir; Ullah, Hedayat; Zahri, Mostafa; Humphries, Usa Wannasingha; Karite, Touria; Yusuf, Abdullahi; Ullah, Hakeem; Fiza, Mehreen</t>
  </si>
  <si>
    <t>STATIONARY DISTRIBUTION AND EXTINCTION OF STOCHASTIC CORONAVIRUS (COVID-19) EPIDEMIC MODEL</t>
  </si>
  <si>
    <t>Ullah, Hakeem/IXW-6904-2023; Karite, Touria/GPX-2697-2022</t>
  </si>
  <si>
    <t>Karite, Touria/0000-0002-7074-764X</t>
  </si>
  <si>
    <t>10.1142/S0218348X22400503</t>
  </si>
  <si>
    <t>WOS:000766635200072</t>
  </si>
  <si>
    <t>Mustapha, UT; Idris, B; Musa, SS; Yusuf, A</t>
  </si>
  <si>
    <t>Mustapha, Umar T.; Idris, Buhari; Musa, Salihu S.; Yusuf, Abdullahi</t>
  </si>
  <si>
    <t>MATHEMATICAL MODELING AND ANALYSIS OF MYCOBACTERIUM TUBERCULOSIS TRANSMISSION IN HUMANS WITH HOSPITALIZATION AND REINFECTION</t>
  </si>
  <si>
    <t>JOURNAL OF APPLIED MATHEMATICS AND COMPUTATIONAL MECHANICS</t>
  </si>
  <si>
    <t>Yusuf, Abdullahi/L-9956-2018; Musa, Salihu Sabiu/GRO-1136-2022</t>
  </si>
  <si>
    <t>Yusuf, Abdullahi/0000-0002-8308-7943; Musa, Salihu Sabiu/0000-0001-6335-2335; Mustapha, Umar Tasiu/0000-0002-0470-5572</t>
  </si>
  <si>
    <t>2299-9965</t>
  </si>
  <si>
    <t>2353-0588</t>
  </si>
  <si>
    <t>10.17512/jamcm.2022.1.05</t>
  </si>
  <si>
    <t>WOS:000766628800001</t>
  </si>
  <si>
    <t>Khan, A; Raouf, A; Zarin, R; Yusuf, A; Humphries, UW</t>
  </si>
  <si>
    <t>Khan, Amir; Raouf, Abdur; Zarin, Rahat; Yusuf, Abdullahi; Humphries, Usa Wannasingha</t>
  </si>
  <si>
    <t>Existence theory and numerical solution of leptospirosis disease model via exponential decay law</t>
  </si>
  <si>
    <t>Zarin, Rahat/ABF-5226-2021</t>
  </si>
  <si>
    <t>Zarin, Rahat/0000-0002-9759-2924</t>
  </si>
  <si>
    <t>10.3934/math.2022492</t>
  </si>
  <si>
    <t>WOS:000766225500003</t>
  </si>
  <si>
    <t>Mataraci, F; Karimov, U; Ozdemir, IB; Yildirim, D; Altindag, A</t>
  </si>
  <si>
    <t>Mataraci, Furkan; Karimov, Ulvi; Ozdemir, I. Bedii; Yildirim, Duzgun; Altindag, Aytug</t>
  </si>
  <si>
    <t>CFD SIMULATIONS AND ANALYSES OF ASYMPTOMATIC AND SYMPTOMATIC NASAL AIRWAY OBSTRUCTIONS</t>
  </si>
  <si>
    <t>JOURNAL OF MECHANICS IN MEDICINE AND BIOLOGY</t>
  </si>
  <si>
    <t>0219-5194</t>
  </si>
  <si>
    <t>1793-6810</t>
  </si>
  <si>
    <t>10.1142/S0219519422500051</t>
  </si>
  <si>
    <t>WOS:000764099100008</t>
  </si>
  <si>
    <t>Khater, MMA; Inc, M; Attia, RAM; Lu, DC</t>
  </si>
  <si>
    <t>Khater, Mostafa M. A.; Inc, Mustafa; Attia, Raghda A. M.; Lu, Dianchen</t>
  </si>
  <si>
    <t>Computational Simulations; Abundant Optical Wave Solutions Atangana Conformable Fractional Nonlinear Schrodinger Equation</t>
  </si>
  <si>
    <t>ADVANCES IN MATHEMATICAL PHYSICS</t>
  </si>
  <si>
    <t>Inc, Mustafa/C-4307-2018; M. A. khater, mostafa/AAL-3097-2020</t>
  </si>
  <si>
    <t>Inc, Mustafa/0000-0003-4996-8373; M. A. khater, mostafa/0000-0001-8466-168X; Lu, Dianchen/0000-0001-6896-172X</t>
  </si>
  <si>
    <t>1687-9120</t>
  </si>
  <si>
    <t>1687-9139</t>
  </si>
  <si>
    <t>FEB 10</t>
  </si>
  <si>
    <t>10.1155/2022/2196913</t>
  </si>
  <si>
    <t>WOS:000766956100001</t>
  </si>
  <si>
    <t>Wang, B; Mondal, J; Samui, P; Chatterjee, AN; Yusuf, A</t>
  </si>
  <si>
    <t>Wang, Bo; Mondal, Jayanta; Samui, Piu; Chatterjee, Amar Nath; Yusuf, Abdullahi</t>
  </si>
  <si>
    <t>Effect of an antiviral drug control and its variable order fractional network in host COVID-19 kinetics (Feb, 10.1140/epjs/s11734-022-00454-4, 2022)</t>
  </si>
  <si>
    <t>EUROPEAN PHYSICAL JOURNAL-SPECIAL TOPICS</t>
  </si>
  <si>
    <t>Chatterjee, Amar Nath/AAL-6571-2020</t>
  </si>
  <si>
    <t>Chatterjee, Amar Nath/0000-0002-3007-0144; Mondal, Jayanta/0000-0001-9762-6920</t>
  </si>
  <si>
    <t>1951-6355</t>
  </si>
  <si>
    <t>1951-6401</t>
  </si>
  <si>
    <t>2022 FEB 21</t>
  </si>
  <si>
    <t>10.1140/epjs/s11734-022-00476-y</t>
  </si>
  <si>
    <t>WOS:000759020600002</t>
  </si>
  <si>
    <t>Asjad, MI; Faridi, WA; Jhangeer, A; Aleem, M; Yusuf, A; Alshomrani, AS; Baleanu, D</t>
  </si>
  <si>
    <t>Asjad, Muhammad Imran; Faridi, Waqas Ali; Jhangeer, Adil; Aleem, Maryam; Yusuf, Abdullahi; Alshomrani, Ali S.; Baleanu, Dumitru</t>
  </si>
  <si>
    <t>Nonlinear wave train in an inhomogeneous medium with the fractional theory in a plane self-focusing</t>
  </si>
  <si>
    <t>ALSHOMRANI, ALI SALEH/Q-4236-2017; Baleanu, Dumitru/B-9936-2012; Faridi, Waqas Ali Faridi/AGO-2432-2022</t>
  </si>
  <si>
    <t>ALSHOMRANI, ALI SALEH/0000-0001-9222-8915; Baleanu, Dumitru/0000-0002-0286-7244; Faridi, Waqas Ali Faridi/0000-0003-0713-5365</t>
  </si>
  <si>
    <t>10.3934/math.2022462</t>
  </si>
  <si>
    <t>WOS:000762976400002</t>
  </si>
  <si>
    <t>Shallal, MA; Taqi, AH; Jumaa, BF; Rezazadeh, H; Inc, M</t>
  </si>
  <si>
    <t>Shallal, M. A.; Taqi, A. H.; Jumaa, B. F.; Rezazadeh, H.; Inc, M.</t>
  </si>
  <si>
    <t>Numerical solutions to the 1-D Burgers' equation by a cubic Hermite finite element method</t>
  </si>
  <si>
    <t>INDIAN JOURNAL OF PHYSICS</t>
  </si>
  <si>
    <t>Rezazadeh, Hadi/0000-0003-3800-8406; Inc, Mustafa/0000-0003-4996-8373</t>
  </si>
  <si>
    <t>0973-1458</t>
  </si>
  <si>
    <t>0974-9845</t>
  </si>
  <si>
    <t>10.1007/s12648-022-02304-4</t>
  </si>
  <si>
    <t>WOS:000761833600001</t>
  </si>
  <si>
    <t>Asjad, MI; Faridi, WA; Al-Shomrani, MM; Yusuf, A</t>
  </si>
  <si>
    <t>Asjad, Muhammad Imran; Faridi, Waqas Ali; Al-Shomrani, Mohammed M.; Yusuf, Abdullahi</t>
  </si>
  <si>
    <t>The generalization of Hermite-Hadamard type Inequality with exp-convexity involving non-singular fractional operator</t>
  </si>
  <si>
    <t>Faridi, Waqas Ali Faridi/AGO-2432-2022; Al-shomrani, Mohammed/ABA-9461-2020</t>
  </si>
  <si>
    <t>Faridi, Waqas Ali Faridi/0000-0003-0713-5365; Al-shomrani, Mohammed/0000-0001-7397-5165</t>
  </si>
  <si>
    <t>10.3934/math.2022392</t>
  </si>
  <si>
    <t>WOS:000756576800019</t>
  </si>
  <si>
    <t>Sen, FB; Begiç, N; Bener, M; Apak, R</t>
  </si>
  <si>
    <t>Sen, Furkan Burak; Begic, Nilay; Bener, Mustafa; Apak, Resat</t>
  </si>
  <si>
    <t>Fluorescence turn-off sensing of TNT by polyethylenimine capped carbon quantum dots</t>
  </si>
  <si>
    <t>SPECTROCHIMICA ACTA PART A-MOLECULAR AND BIOMOLECULAR SPECTROSCOPY</t>
  </si>
  <si>
    <t>Apak, Reşat/D-4782-2019; Bener, Mustafa/D-3750-2019</t>
  </si>
  <si>
    <t>Apak, Reşat/0000-0003-1739-5814; Bener, Mustafa/0000-0002-2699-1354</t>
  </si>
  <si>
    <t>1386-1425</t>
  </si>
  <si>
    <t>1873-3557</t>
  </si>
  <si>
    <t>10.1016/j.saa.2022.120884</t>
  </si>
  <si>
    <t>WOS:000751821100004</t>
  </si>
  <si>
    <t>Din, A; Li, YJ; Yusuf, A; Liu, JP; Aly, AA</t>
  </si>
  <si>
    <t>Din, Anwarud; Li, Yongjin; Yusuf, Abdullahi; Liu, Jinping; Aly, Ayman A.</t>
  </si>
  <si>
    <t>Impact of information intervention on stochastic hepatitis B model and its variable-order fractional network</t>
  </si>
  <si>
    <t>Din, Anwarud/CAJ-3276-2022; Aly, Ayman A./AAZ-9459-2021; Yusuf, Abdullahi/L-9956-2018</t>
  </si>
  <si>
    <t>Aly, Ayman A./0000-0002-8383-8014; Yusuf, Abdullahi/0000-0002-8308-7943</t>
  </si>
  <si>
    <t>10.1140/epjs/s11734-022-00453-5</t>
  </si>
  <si>
    <t>WOS:000751240200001</t>
  </si>
  <si>
    <t>Yalcin, GE; Esen, HE; Yagimli, M; Arca, E</t>
  </si>
  <si>
    <t>Yalcin, G. E.; Ergin Esen, H.; Yagimli, M.; Arca, E.</t>
  </si>
  <si>
    <t>Mathematical modelling of sound transmission loss (STL) in metallic and graphite based coatings</t>
  </si>
  <si>
    <t>TRANSACTIONS OF THE INSTITUTE OF METAL FINISHING</t>
  </si>
  <si>
    <t>Arca, Emin/0000-0001-5450-8414; Ergin Esen, Hande/0000-0001-7826-3220; YALCIN, Giyasettin Efdal/0000-0002-8185-5996</t>
  </si>
  <si>
    <t>0020-2967</t>
  </si>
  <si>
    <t>1745-9192</t>
  </si>
  <si>
    <t>MAR 4</t>
  </si>
  <si>
    <t>10.1080/00202967.2021.2023267</t>
  </si>
  <si>
    <t>WOS:000750773000001</t>
  </si>
  <si>
    <t>Halidou, H; Abbagari, S; Houwe, A; Inc, M; Thomas, BB</t>
  </si>
  <si>
    <t>Halidou, Hamadou; Abbagari, Souleymanou; Houwe, Alphonse; Inc, Mustafa; Thomas, Bouetou B.</t>
  </si>
  <si>
    <t>Rational W-shape solitons on a nonlinear electrical transmission line with Josephson junction</t>
  </si>
  <si>
    <t>APR 6</t>
  </si>
  <si>
    <t>10.1016/j.physleta.2022.127951</t>
  </si>
  <si>
    <t>WOS:000750756300001</t>
  </si>
  <si>
    <t>Rashid, M; Kalsoom, A; Ghaffar, A; Inc, M; Sene, N</t>
  </si>
  <si>
    <t>Rashid, Maliha; Kalsoom, Amna; Ghaffar, Abdul; Inc, Mustafa; Sene, Ndolane</t>
  </si>
  <si>
    <t>A Multiple Fixed Point Result for (?,f,?)-Type Contractions in the Partially Ordered s-Distance Spaces with an Application</t>
  </si>
  <si>
    <t>SENE, NDOLANE/M-8203-2019; Sene, Ndolane Nsene/E-6809-2019; Sene, Ndolane Nsene/GQA-8357-2022; Ghaffar, Abdul/AAB-3751-2020</t>
  </si>
  <si>
    <t>SENE, NDOLANE/0000-0002-8664-6464; Sene, Ndolane Nsene/0000-0002-8664-6464; Sene, Ndolane Nsene/0000-0002-8664-6464; Ghaffar, Abdul/0000-0002-5994-8440</t>
  </si>
  <si>
    <t>JAN 6</t>
  </si>
  <si>
    <t>10.1155/2022/6202981</t>
  </si>
  <si>
    <t>WOS:000751049700001</t>
  </si>
  <si>
    <t>Wanga, B; Mondal, J; Samui, P; Chatterjee, AN; Yusuf, A</t>
  </si>
  <si>
    <t>Wanga, Bo; Mondal, Jayanta; Samui, Piu; Chatterjee, Amar Nath; Yusuf, Abdullahi</t>
  </si>
  <si>
    <t>Effect of an antiviral drug control and its variable order fractional network in host COVID-19 kinetics</t>
  </si>
  <si>
    <t>Yusuf, Abdullahi/L-9956-2018; Chatterjee, Amar Nath/AAL-6571-2020</t>
  </si>
  <si>
    <t>Yusuf, Abdullahi/0000-0002-8308-7943; Mondal, Jayanta/0000-0001-9762-6920; Chatterjee, Amar Nath/0000-0002-3007-0144</t>
  </si>
  <si>
    <t>10.1140/epjs/s11734-022-00454-4</t>
  </si>
  <si>
    <t>WOS:000749460100001</t>
  </si>
  <si>
    <t>Arshed, S; Rahman, RU; Raza, N; Khan, AK; Inc, M</t>
  </si>
  <si>
    <t>Arshed, Saima; Rahman, Riaz Ur; Raza, Nauman; Khan, Ahmad Kamal; Inc, Mustafa</t>
  </si>
  <si>
    <t>A variety of fractional soliton solutions for three important coupled models arising in mathematical physics</t>
  </si>
  <si>
    <t>Rahman, Riaz Ur/GPT-0745-2022; Raza, Nauman/ADU-2858-2022; Inc, Mustafa/C-4307-2018</t>
  </si>
  <si>
    <t>Rahman, Riaz Ur/0000-0002-8245-1088; Inc, Mustafa/0000-0003-4996-8373; Khan, Ahmad Kamal/0000-0002-2110-5165</t>
  </si>
  <si>
    <t>JAN 10</t>
  </si>
  <si>
    <t>10.1142/S0217979222500023</t>
  </si>
  <si>
    <t>WOS:000744572700010</t>
  </si>
  <si>
    <t>Yao, SW; Farman, M; Amin, M; Inc, M; Akgül, A; Ahmad, A</t>
  </si>
  <si>
    <t>Yao, Shao-Wen; Farman, Muhammad; Amin, Maryam; Inc, Mustafa; Akgul, Ali; Ahmad, Aqeel</t>
  </si>
  <si>
    <t>Fractional order COVID-19 model with transmission rout infected through environment</t>
  </si>
  <si>
    <t>Farman, Muhammad/AAZ-2869-2020; Akgül, Ali/F-3909-2019; Ahmad, Dr. Aqeel/GQH-7590-2022</t>
  </si>
  <si>
    <t>Farman, Muhammad/0000-0001-7616-0500; Akgül, Ali/0000-0001-9832-1424;</t>
  </si>
  <si>
    <t>10.3934/math.2022288</t>
  </si>
  <si>
    <t>WOS:000744993900014</t>
  </si>
  <si>
    <t>Nisar, KS; Inc, M; Jhangeer, A; Muddassar, M; Infal, B</t>
  </si>
  <si>
    <t>Nisar, Kottakkaran Sooppy; Inc, Mustafa; Jhangeer, Adil; Muddassar, Muhammad; Infal, Barka</t>
  </si>
  <si>
    <t>New soliton solutions of Heisenberg ferromagnetic spin chain model</t>
  </si>
  <si>
    <t>PRAMANA-JOURNAL OF PHYSICS</t>
  </si>
  <si>
    <t>Muddassar, Muhammad/N-5294-2014; Nisar, Prof. Kottakkaran Sooppy/F-7559-2015</t>
  </si>
  <si>
    <t>Muddassar, Muhammad/0000-0002-8433-1514; Nisar, Prof. Kottakkaran Sooppy/0000-0001-5769-4320</t>
  </si>
  <si>
    <t>0304-4289</t>
  </si>
  <si>
    <t>0973-7111</t>
  </si>
  <si>
    <t>JAN 13</t>
  </si>
  <si>
    <t>10.1007/s12043-021-02266-y</t>
  </si>
  <si>
    <t>WOS:001029498000001</t>
  </si>
  <si>
    <t>Justin, M; David, V; Shahen, NHM; Sylvere, AS; Rezazadeh, H; Inc, M; Betchewe, G; Doka, SY</t>
  </si>
  <si>
    <t>Justin, Mibaile; David, Vroumsia; Shahen, Nur Hasan Mahmud; Sylvere, Azakine Sindanne; Rezazadeh, Hadi; Inc, Mustafa; Betchewe, Gambo; Doka, Serge Y.</t>
  </si>
  <si>
    <t>Sundry optical solitons and modulational instability in Sasa-Satsuma model</t>
  </si>
  <si>
    <t>Rezazadeh, Hadi/AAB-2926-2020; Inc, Mustafa/C-4307-2018; Shahen, Nur Hasan Mahmud/AAU-9504-2021</t>
  </si>
  <si>
    <t>Rezazadeh, Hadi/0000-0003-3800-8406; Shova, Foyjonnesa/0000-0002-5990-1466; david, Vroumsia/0000-0001-5998-9341; Inc, Mustafa/0000-0003-4996-8373; Shahen, Nur Hasan Mahmud/0000-0002-9374-5380</t>
  </si>
  <si>
    <t>10.1007/s11082-021-03439-0</t>
  </si>
  <si>
    <t>WOS:000738776700013</t>
  </si>
  <si>
    <t>Raza, N; Kaplan, M; Javid, A; Inc, M</t>
  </si>
  <si>
    <t>Raza, Nauman; Kaplan, Melike; Javid, Ahmad; Inc, Mustafa</t>
  </si>
  <si>
    <t>Complexiton and resonant multi-solitons of a (4+1)-dimensional Boiti-Leon-Manna-Pempinelli equation</t>
  </si>
  <si>
    <t>Kaplan, Melike/X-5045-2019; Raza, Nauman/ADU-2858-2022; Inc, Mustafa/C-4307-2018</t>
  </si>
  <si>
    <t>Kaplan, Melike/0000-0001-5700-9127; Inc, Mustafa/0000-0003-4996-8373</t>
  </si>
  <si>
    <t>10.1007/s11082-021-03487-6</t>
  </si>
  <si>
    <t>WOS:000738776700024</t>
  </si>
  <si>
    <t>Sogut, I; Kar, F; Senat, A; Duymaz, T; Erel, O; Salihoglu, E</t>
  </si>
  <si>
    <t>Sogut, Ibrahim; Kar, Fatih; Senat, Almila; Duymaz, Tomris; Erel, Ozcan; Salihoglu, Ece</t>
  </si>
  <si>
    <t>Thiol/disulfide homeostasis and oxidant status in children with congenital heart disease</t>
  </si>
  <si>
    <t>TURKISH JOURNAL OF BIOCHEMISTRY-TURK BIYOKIMYA DERGISI</t>
  </si>
  <si>
    <t>Salihoglu, Ece/G-7642-2018; Şenat, Almila/ACJ-4022-2022; EREL, Ozcan/U-1008-2019; kar, fatih/HJY-4385-2023</t>
  </si>
  <si>
    <t>Salihoglu, Ece/0000-0002-7170-7877; Şenat, Almila/0000-0002-5806-562X; EREL, Ozcan/0000-0002-2996-3236; kar, fatih/0000-0001-8356-9806; Sogut, Ibrahim/0000-0001-7724-6488</t>
  </si>
  <si>
    <t>0250-4685</t>
  </si>
  <si>
    <t>1303-829X</t>
  </si>
  <si>
    <t>JUL 1</t>
  </si>
  <si>
    <t>10.1515/tjb-2021-0172</t>
  </si>
  <si>
    <t>WOS:000734474100001</t>
  </si>
  <si>
    <t>Abbagari, S; Houwe, A; Doka, SY; Inc, M; Bouetou, TB</t>
  </si>
  <si>
    <t>Abbagari, Souleymanou; Houwe, Alphonse; Doka, Serge Y.; Inc, Mustafa; Bouetou, Thomas B.</t>
  </si>
  <si>
    <t>Specific optical solitons solutions to the coupled Radhakrishnan-Kundu-Lakshmanan model and modulation instability gain spectra in birefringent fibers</t>
  </si>
  <si>
    <t>10.1007/s11082-021-03359-z</t>
  </si>
  <si>
    <t>WOS:000728427600006</t>
  </si>
  <si>
    <t>Yépez-Martínez, H; Rezazadeh, H; Inc, M; Akinlar, MA; Gómez-Aguilar, JF</t>
  </si>
  <si>
    <t>Yepez-Martinez, H.; Rezazadeh, Hadi; Inc, Mustafa; Akinlar, Mehmet Ali; Gomez-Aguilar, J. F.</t>
  </si>
  <si>
    <t>Analytical solutions to the fractional Lakshmanan-Porsezian-Daniel model</t>
  </si>
  <si>
    <t>Rezazadeh, Hadi/AAB-2926-2020; Akinlar, Mehmet Ali/I-3321-2013; Inc, Mustafa/C-4307-2018</t>
  </si>
  <si>
    <t>Rezazadeh, Hadi/0000-0003-3800-8406; Akinlar, Mehmet Ali/0000-0002-7005-8633; Inc, Mustafa/0000-0003-4996-8373; Yepez-Martinez, Huitzilin/0000-0002-8532-5669</t>
  </si>
  <si>
    <t>10.1007/s11082-021-03378-w</t>
  </si>
  <si>
    <t>WOS:000726094300001</t>
  </si>
  <si>
    <t>Nural, Y; Ozdemir, S; Yalcin, MS; Demir, B; Atabey, H; Seferoglu, Z; Ece, A</t>
  </si>
  <si>
    <t>Nural, Yahya; Ozdemir, Sadin; Yalcin, Mustafa Serkan; Demir, Bunyamin; Atabey, Hasan; Seferoglu, Zeynel; Ece, Abdulilah</t>
  </si>
  <si>
    <t>New bis- and tetrakis-1,2,3-triazole derivatives: Synthesis, DNA cleavage, molecular docking, antimicrobial, antioxidant activity and acid dissociation constants</t>
  </si>
  <si>
    <t>BIOORGANIC &amp; MEDICINAL CHEMISTRY LETTERS</t>
  </si>
  <si>
    <t>Nural, Yahya/K-1798-2015; yalçın, mustafa serkan/I-9935-2016; Ece, Abdulilah/W-4165-2017</t>
  </si>
  <si>
    <t>Nural, Yahya/0000-0002-5986-8248; yalçın, mustafa serkan/0000-0002-1134-5544; Ece, Abdulilah/0000-0002-3087-5145</t>
  </si>
  <si>
    <t>0960-894X</t>
  </si>
  <si>
    <t>1464-3405</t>
  </si>
  <si>
    <t>JAN 1</t>
  </si>
  <si>
    <t>10.1016/j.bmcl.2021.128453</t>
  </si>
  <si>
    <t>WOS:000722151500008</t>
  </si>
  <si>
    <t>Coker-Gurkan, A; Koyuncu, K; Yerlikaya, PO; Arisan, ED</t>
  </si>
  <si>
    <t>Coker-Gurkan, Ajda; Koyuncu, Kadriye; Yerlikaya, Pinar Obakan; Arisan, Elif Damla</t>
  </si>
  <si>
    <t>miR27a, a fine-tuning molecule, interacts with growth hormone (GH) signaling and ornithine decarboxylase (ODC) via targeting STAT5</t>
  </si>
  <si>
    <t>AMINO ACIDS</t>
  </si>
  <si>
    <t>Obakan Yerlikaya, Pinar/GXG-5123-2022; OBAKAN YERLIKAYA, PINAR/AAG-5979-2019</t>
  </si>
  <si>
    <t>Obakan Yerlikaya, Pinar/0000-0001-7058-955X; OBAKAN YERLIKAYA, PINAR/0000-0001-7058-955X; Koyuncu, Kadriye/0000-0002-9458-6334; Gurkan, Ajda/0000-0003-1475-2417</t>
  </si>
  <si>
    <t>0939-4451</t>
  </si>
  <si>
    <t>1438-2199</t>
  </si>
  <si>
    <t>10.1007/s00726-021-03101-9</t>
  </si>
  <si>
    <t>WOS:000722828000002</t>
  </si>
  <si>
    <t>Abbagari, S; Nyawo, PT; Houwe, A; Inc, M</t>
  </si>
  <si>
    <t>Abbagari, Souleymanou; Nyawo, Pelerine Tsogni; Houwe, Alphonse; Inc, Mustafa</t>
  </si>
  <si>
    <t>Brownian motion effects on W-shaped soliton and modulation instability gain of the (2+1)-dimensional nonlinear schrodinger equation</t>
  </si>
  <si>
    <t>10.1007/s11082-021-03377-x</t>
  </si>
  <si>
    <t>WOS:000722225700005</t>
  </si>
  <si>
    <t>Ouahid, L; Abdou, MA; Owyed, S; Abdel-Baset, AM; Inc, M</t>
  </si>
  <si>
    <t>Ouahid, Loubna; Abdou, M. A.; Owyed, S.; Abdel-Baset, A. M.; Inc, M.</t>
  </si>
  <si>
    <t>Multi-waves interaction and optical solitons for Heisenberg models of fractal order</t>
  </si>
  <si>
    <t>10.1007/s12648-021-02198-8</t>
  </si>
  <si>
    <t>WOS:000706048300001</t>
  </si>
  <si>
    <t>Sethi, AK; Ghaderi, M; Rezapour, S; Kaabar, MKA; Inc, M; Masiha, HP</t>
  </si>
  <si>
    <t>Sethi, Abhay Kumar; Ghaderi, Mehran; Rezapour, Shahram; Kaabar, Mohammed K. A.; Inc, Mostafa; Masiha, Hashem Parvaneh</t>
  </si>
  <si>
    <t>Sufficient conditions for the existence of oscillatory solutions to nonlinear second order differential equations</t>
  </si>
  <si>
    <t>JOURNAL OF APPLIED MATHEMATICS AND COMPUTING</t>
  </si>
  <si>
    <t>Kaabar, Mohammed K A/O-4458-2018; Rezapour, Shahram/N-4883-2016; Ghaderi, Mehran/HDO-6345-2022; Inc, Mustafa/C-4307-2018</t>
  </si>
  <si>
    <t>Kaabar, Mohammed K A/0000-0003-2260-0341; Rezapour, Shahram/0000-0003-3463-2607; Ghaderi, Mehran/0000-0001-9130-6942; Inc, Mustafa/0000-0003-4996-8373</t>
  </si>
  <si>
    <t>1598-5865</t>
  </si>
  <si>
    <t>1865-2085</t>
  </si>
  <si>
    <t>10.1007/s12190-021-01629-3</t>
  </si>
  <si>
    <t>WOS:000695786200001</t>
  </si>
  <si>
    <t>Bouteraa, N; Inc, M; Akgül, A</t>
  </si>
  <si>
    <t>Bouteraa, Noureddine; Inc, Mustafa; Akgul, Ali</t>
  </si>
  <si>
    <t>Stability analysis of time-fractional differential equations with initial data</t>
  </si>
  <si>
    <t>MATHEMATICAL METHODS IN THE APPLIED SCIENCES</t>
  </si>
  <si>
    <t>Akgül, Ali/F-3909-2019; Inc, Mustafa/C-4307-2018</t>
  </si>
  <si>
    <t>Akgül, Ali/0000-0001-9832-1424; Inc, Mustafa/0000-0003-4996-8373</t>
  </si>
  <si>
    <t>0170-4214</t>
  </si>
  <si>
    <t>1099-1476</t>
  </si>
  <si>
    <t>JAN 15</t>
  </si>
  <si>
    <t>10.1002/mma.7782</t>
  </si>
  <si>
    <t>WOS:000697325800001</t>
  </si>
  <si>
    <t>Hussain, M; Ali, A; Ghaffar, A; Inc, M</t>
  </si>
  <si>
    <t>Hussain, Majid; Ali, Akhtar; Ghaffar, Abdul; Inc, Mustafa</t>
  </si>
  <si>
    <t>Flow and thermal study of MHD Casson fluid past a moving stretching porous wedge</t>
  </si>
  <si>
    <t>JOURNAL OF THERMAL ANALYSIS AND CALORIMETRY</t>
  </si>
  <si>
    <t>1388-6150</t>
  </si>
  <si>
    <t>1588-2926</t>
  </si>
  <si>
    <t>10.1007/s10973-021-10983-0</t>
  </si>
  <si>
    <t>WOS:000681570400006</t>
  </si>
  <si>
    <t>Ouahid, L; Abdou, MA; Owyed, S; Inc, M; Abdel-Baset, AM; Yusuf, A</t>
  </si>
  <si>
    <t>Ouahid, L.; Abdou, M. A.; Owyed, S.; Inc, M.; Abdel-Baset, A. M.; Yusuf, A.</t>
  </si>
  <si>
    <t>New optical solitons for complex Ginzburg-Landau equation with beta derivatives via two integration algorithms</t>
  </si>
  <si>
    <t>10.1007/s12648-021-02168-0</t>
  </si>
  <si>
    <t>WOS:000671521100001</t>
  </si>
  <si>
    <t>Kumbinarasaiah, S; Raghunatha, KR; Rezazadeh, M; Inc, M</t>
  </si>
  <si>
    <t>Kumbinarasaiah, S.; Raghunatha, K. R.; Rezazadeh, Mohammadreza; Inc, Mustafa</t>
  </si>
  <si>
    <t>A solution of coupled nonlinear differential equations arising in a rotating micropolar nanofluid flow system by Hermite wavelet technique</t>
  </si>
  <si>
    <t>ENGINEERING WITH COMPUTERS</t>
  </si>
  <si>
    <t>S, Kumbinarasaiah/0000-0001-8942-7892; Inc, Mustafa/0000-0003-4996-8373; Raghunatha, K R/0000-0001-7237-4384</t>
  </si>
  <si>
    <t>0177-0667</t>
  </si>
  <si>
    <t>1435-5663</t>
  </si>
  <si>
    <t>SUPPL 4</t>
  </si>
  <si>
    <t>10.1007/s00366-021-01462-z</t>
  </si>
  <si>
    <t>WOS:000670178700002</t>
  </si>
  <si>
    <t>Yurttas, AG; Gokduman, K; Hekim, N</t>
  </si>
  <si>
    <t>Yurttas, Asiye Gok; Gokduman, Kurtulus; Hekim, Nezih</t>
  </si>
  <si>
    <t>Liposomes Loaded with Activatable Disulfide Bridged Photosensitizer: Towards Targeted and Effective Photodynamic Therapy on Breast Cancer Cells</t>
  </si>
  <si>
    <t>BIOINTERFACE RESEARCH IN APPLIED CHEMISTRY</t>
  </si>
  <si>
    <t>YURTTAŞ, Asiye GÖK/HPC-1167-2023; Gokduman, Kurtulus/G-8216-2016</t>
  </si>
  <si>
    <t>Gokduman, Kurtulus/0000-0003-2692-5434</t>
  </si>
  <si>
    <t>2069-5837</t>
  </si>
  <si>
    <t>FEB 15</t>
  </si>
  <si>
    <t>10.33263/BRIAC121.304325</t>
  </si>
  <si>
    <t>WOS:000646310900024</t>
  </si>
  <si>
    <t>Younas, U; Sulaiman, TA; Yusuf, A; Bilal, M; Younis, M; Rehman, SU</t>
  </si>
  <si>
    <t>Younas, U.; Sulaiman, T. A.; Yusuf, A.; Bilal, M.; Younis, M.; Rehman, S. U.</t>
  </si>
  <si>
    <t>New solitons and other solutions in saturated ferromagnetic materials modeled by Kraenkel-Manna-Merle system</t>
  </si>
  <si>
    <t>Sulaiman, Tukur Abdulkadir/0000-0001-7284-8332</t>
  </si>
  <si>
    <t>10.1007/s12648-020-01958-2</t>
  </si>
  <si>
    <t>WOS:000604081300002</t>
  </si>
  <si>
    <t>Yildirim, C; Erturk, H; Pekkan, K; Deniz, S; Serefoglu, EC</t>
  </si>
  <si>
    <t>Yildirim, Canberk; Erturk, Hakan; Pekkan, Kerem; Deniz, Sinan; Serefoglu, Ege Can</t>
  </si>
  <si>
    <t>A novel method for hemodynamic analysis of penile erection</t>
  </si>
  <si>
    <t>INTERNATIONAL JOURNAL OF IMPOTENCE RESEARCH</t>
  </si>
  <si>
    <t>Erturk, Hakan/C-1238-2008; Deniz, Sinan/AAA-1269-2022; Serefoglu, Ege Can/H-4135-2019; Pekkan, Kerem/P-5038-2019</t>
  </si>
  <si>
    <t>Erturk, Hakan/0000-0001-5564-3845; Deniz, Sinan/0000-0002-9887-2864; Pekkan, Kerem/0000-0001-7637-4445</t>
  </si>
  <si>
    <t>0955-9930</t>
  </si>
  <si>
    <t>1476-5489</t>
  </si>
  <si>
    <t>10.1038/s41443-020-00362-y</t>
  </si>
  <si>
    <t>WOS:000578496100001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</si>
</sst>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9B028-CE83-4767-A0F7-76B981AC4B27}">
  <dimension ref="A1:P220"/>
  <sheetViews>
    <sheetView tabSelected="1" workbookViewId="0">
      <selection sqref="A1:XFD1048576"/>
    </sheetView>
  </sheetViews>
  <sheetFormatPr defaultRowHeight="15" x14ac:dyDescent="0.25"/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16</v>
      </c>
      <c r="B2" t="s">
        <v>17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 t="s">
        <v>24</v>
      </c>
      <c r="J2">
        <v>2022</v>
      </c>
      <c r="K2">
        <v>35</v>
      </c>
      <c r="L2" t="s">
        <v>25</v>
      </c>
      <c r="M2" t="s">
        <v>26</v>
      </c>
      <c r="N2" t="str">
        <f>HYPERLINK("http://dx.doi.org/10.1080/08941939.2022.2128117","http://dx.doi.org/10.1080/08941939.2022.2128117")</f>
        <v>http://dx.doi.org/10.1080/08941939.2022.2128117</v>
      </c>
      <c r="O2" t="s">
        <v>27</v>
      </c>
      <c r="P2" t="str">
        <f>HYPERLINK("https%3A%2F%2Fwww.webofscience.com%2Fwos%2Fwoscc%2Ffull-record%2FWOS:000861278200001","View Full Record in Web of Science")</f>
        <v>View Full Record in Web of Science</v>
      </c>
    </row>
    <row r="3" spans="1:16" x14ac:dyDescent="0.25">
      <c r="A3" t="s">
        <v>28</v>
      </c>
      <c r="B3" t="s">
        <v>29</v>
      </c>
      <c r="C3" t="s">
        <v>30</v>
      </c>
      <c r="D3" t="s">
        <v>31</v>
      </c>
      <c r="E3" t="s">
        <v>32</v>
      </c>
      <c r="F3" t="s">
        <v>32</v>
      </c>
      <c r="G3" t="s">
        <v>33</v>
      </c>
      <c r="H3" t="s">
        <v>34</v>
      </c>
      <c r="I3" t="s">
        <v>32</v>
      </c>
      <c r="J3">
        <v>2022</v>
      </c>
      <c r="K3">
        <v>10</v>
      </c>
      <c r="L3">
        <v>4</v>
      </c>
      <c r="M3" t="s">
        <v>35</v>
      </c>
      <c r="N3" t="str">
        <f>HYPERLINK("http://dx.doi.org/10.22034/CMDE.2021.36045.1624","http://dx.doi.org/10.22034/CMDE.2021.36045.1624")</f>
        <v>http://dx.doi.org/10.22034/CMDE.2021.36045.1624</v>
      </c>
      <c r="O3" t="s">
        <v>36</v>
      </c>
      <c r="P3" t="str">
        <f>HYPERLINK("https%3A%2F%2Fwww.webofscience.com%2Fwos%2Fwoscc%2Ffull-record%2FWOS:001009603700005","View Full Record in Web of Science")</f>
        <v>View Full Record in Web of Science</v>
      </c>
    </row>
    <row r="4" spans="1:16" x14ac:dyDescent="0.25">
      <c r="A4" t="s">
        <v>37</v>
      </c>
      <c r="B4" t="s">
        <v>38</v>
      </c>
      <c r="C4" t="s">
        <v>39</v>
      </c>
      <c r="D4" t="s">
        <v>40</v>
      </c>
      <c r="E4" t="s">
        <v>41</v>
      </c>
      <c r="F4" t="s">
        <v>42</v>
      </c>
      <c r="G4" t="s">
        <v>43</v>
      </c>
      <c r="H4" t="s">
        <v>44</v>
      </c>
      <c r="I4" t="s">
        <v>45</v>
      </c>
      <c r="J4">
        <v>2022</v>
      </c>
      <c r="K4">
        <v>265</v>
      </c>
      <c r="L4" t="s">
        <v>32</v>
      </c>
      <c r="M4" t="s">
        <v>46</v>
      </c>
      <c r="N4" t="str">
        <f>HYPERLINK("http://dx.doi.org/10.1016/j.ijleo.2022.169499","http://dx.doi.org/10.1016/j.ijleo.2022.169499")</f>
        <v>http://dx.doi.org/10.1016/j.ijleo.2022.169499</v>
      </c>
      <c r="O4" t="s">
        <v>47</v>
      </c>
      <c r="P4" t="str">
        <f>HYPERLINK("https%3A%2F%2Fwww.webofscience.com%2Fwos%2Fwoscc%2Ffull-record%2FWOS:000861769200005","View Full Record in Web of Science")</f>
        <v>View Full Record in Web of Science</v>
      </c>
    </row>
    <row r="5" spans="1:16" x14ac:dyDescent="0.25">
      <c r="A5" t="s">
        <v>48</v>
      </c>
      <c r="B5" t="s">
        <v>49</v>
      </c>
      <c r="C5" t="s">
        <v>50</v>
      </c>
      <c r="D5" t="s">
        <v>51</v>
      </c>
      <c r="E5" t="s">
        <v>52</v>
      </c>
      <c r="F5" t="s">
        <v>53</v>
      </c>
      <c r="G5" t="s">
        <v>54</v>
      </c>
      <c r="H5" t="s">
        <v>55</v>
      </c>
      <c r="I5" t="s">
        <v>56</v>
      </c>
      <c r="J5">
        <v>2022</v>
      </c>
      <c r="K5">
        <v>446</v>
      </c>
      <c r="L5" t="s">
        <v>32</v>
      </c>
      <c r="M5" t="s">
        <v>57</v>
      </c>
      <c r="N5" t="str">
        <f>HYPERLINK("http://dx.doi.org/10.1016/j.physleta.2022.128281","http://dx.doi.org/10.1016/j.physleta.2022.128281")</f>
        <v>http://dx.doi.org/10.1016/j.physleta.2022.128281</v>
      </c>
      <c r="O5" t="s">
        <v>58</v>
      </c>
      <c r="P5" t="str">
        <f>HYPERLINK("https%3A%2F%2Fwww.webofscience.com%2Fwos%2Fwoscc%2Ffull-record%2FWOS:000969033700019","View Full Record in Web of Science")</f>
        <v>View Full Record in Web of Science</v>
      </c>
    </row>
    <row r="6" spans="1:16" x14ac:dyDescent="0.25">
      <c r="A6" t="s">
        <v>59</v>
      </c>
      <c r="B6" t="s">
        <v>60</v>
      </c>
      <c r="C6" t="s">
        <v>61</v>
      </c>
      <c r="D6" t="s">
        <v>62</v>
      </c>
      <c r="E6" t="s">
        <v>63</v>
      </c>
      <c r="F6" t="s">
        <v>64</v>
      </c>
      <c r="G6" t="s">
        <v>65</v>
      </c>
      <c r="H6" t="s">
        <v>32</v>
      </c>
      <c r="I6" t="s">
        <v>32</v>
      </c>
      <c r="J6">
        <v>2022</v>
      </c>
      <c r="K6">
        <v>28</v>
      </c>
      <c r="L6">
        <v>5</v>
      </c>
      <c r="M6" t="s">
        <v>66</v>
      </c>
      <c r="N6" t="str">
        <f>HYPERLINK("http://dx.doi.org/10.5755/j02.eie.31197","http://dx.doi.org/10.5755/j02.eie.31197")</f>
        <v>http://dx.doi.org/10.5755/j02.eie.31197</v>
      </c>
      <c r="O6" t="s">
        <v>67</v>
      </c>
      <c r="P6" t="str">
        <f>HYPERLINK("https%3A%2F%2Fwww.webofscience.com%2Fwos%2Fwoscc%2Ffull-record%2FWOS:000966385200007","View Full Record in Web of Science")</f>
        <v>View Full Record in Web of Science</v>
      </c>
    </row>
    <row r="7" spans="1:16" x14ac:dyDescent="0.25">
      <c r="A7" t="s">
        <v>68</v>
      </c>
      <c r="B7" t="s">
        <v>69</v>
      </c>
      <c r="C7" t="s">
        <v>70</v>
      </c>
      <c r="D7" t="s">
        <v>71</v>
      </c>
      <c r="E7" t="s">
        <v>72</v>
      </c>
      <c r="F7" t="s">
        <v>73</v>
      </c>
      <c r="G7" t="s">
        <v>74</v>
      </c>
      <c r="H7" t="s">
        <v>75</v>
      </c>
      <c r="I7" t="s">
        <v>32</v>
      </c>
      <c r="J7">
        <v>2022</v>
      </c>
      <c r="K7">
        <v>46</v>
      </c>
      <c r="L7">
        <v>2</v>
      </c>
      <c r="M7" t="s">
        <v>76</v>
      </c>
      <c r="N7" t="str">
        <f>HYPERLINK("http://dx.doi.org/10.55730/1300-0152.2580","http://dx.doi.org/10.55730/1300-0152.2580")</f>
        <v>http://dx.doi.org/10.55730/1300-0152.2580</v>
      </c>
      <c r="O7" t="s">
        <v>77</v>
      </c>
      <c r="P7" t="str">
        <f>HYPERLINK("https%3A%2F%2Fwww.webofscience.com%2Fwos%2Fwoscc%2Ffull-record%2FWOS:000783708700002","View Full Record in Web of Science")</f>
        <v>View Full Record in Web of Science</v>
      </c>
    </row>
    <row r="8" spans="1:16" x14ac:dyDescent="0.25">
      <c r="A8" t="s">
        <v>78</v>
      </c>
      <c r="B8" t="s">
        <v>79</v>
      </c>
      <c r="C8" t="s">
        <v>80</v>
      </c>
      <c r="D8" t="s">
        <v>40</v>
      </c>
      <c r="E8" t="s">
        <v>81</v>
      </c>
      <c r="F8" t="s">
        <v>82</v>
      </c>
      <c r="G8" t="s">
        <v>43</v>
      </c>
      <c r="H8" t="s">
        <v>44</v>
      </c>
      <c r="I8" t="s">
        <v>83</v>
      </c>
      <c r="J8">
        <v>2022</v>
      </c>
      <c r="K8">
        <v>271</v>
      </c>
      <c r="L8" t="s">
        <v>32</v>
      </c>
      <c r="M8" t="s">
        <v>84</v>
      </c>
      <c r="N8" t="str">
        <f>HYPERLINK("http://dx.doi.org/10.1016/j.ijleo.2022.170132","http://dx.doi.org/10.1016/j.ijleo.2022.170132")</f>
        <v>http://dx.doi.org/10.1016/j.ijleo.2022.170132</v>
      </c>
      <c r="O8" t="s">
        <v>85</v>
      </c>
      <c r="P8" t="str">
        <f>HYPERLINK("https%3A%2F%2Fwww.webofscience.com%2Fwos%2Fwoscc%2Ffull-record%2FWOS:000944602600005","View Full Record in Web of Science")</f>
        <v>View Full Record in Web of Science</v>
      </c>
    </row>
    <row r="9" spans="1:16" x14ac:dyDescent="0.25">
      <c r="A9" t="s">
        <v>86</v>
      </c>
      <c r="B9" t="s">
        <v>87</v>
      </c>
      <c r="C9" t="s">
        <v>88</v>
      </c>
      <c r="D9" t="s">
        <v>89</v>
      </c>
      <c r="E9" t="s">
        <v>90</v>
      </c>
      <c r="F9" t="s">
        <v>91</v>
      </c>
      <c r="G9" t="s">
        <v>92</v>
      </c>
      <c r="H9" t="s">
        <v>32</v>
      </c>
      <c r="I9" t="s">
        <v>93</v>
      </c>
      <c r="J9">
        <v>2022</v>
      </c>
      <c r="K9">
        <v>7</v>
      </c>
      <c r="L9">
        <v>3</v>
      </c>
      <c r="M9" t="s">
        <v>94</v>
      </c>
      <c r="N9" t="str">
        <f>HYPERLINK("http://dx.doi.org/10.1016/j.joes.2021.08.011","http://dx.doi.org/10.1016/j.joes.2021.08.011")</f>
        <v>http://dx.doi.org/10.1016/j.joes.2021.08.011</v>
      </c>
      <c r="O9" t="s">
        <v>95</v>
      </c>
      <c r="P9" t="str">
        <f>HYPERLINK("https%3A%2F%2Fwww.webofscience.com%2Fwos%2Fwoscc%2Ffull-record%2FWOS:000929686200011","View Full Record in Web of Science")</f>
        <v>View Full Record in Web of Science</v>
      </c>
    </row>
    <row r="10" spans="1:16" x14ac:dyDescent="0.25">
      <c r="A10" t="s">
        <v>96</v>
      </c>
      <c r="B10" t="s">
        <v>97</v>
      </c>
      <c r="C10" t="s">
        <v>98</v>
      </c>
      <c r="D10" t="s">
        <v>99</v>
      </c>
      <c r="E10" t="s">
        <v>32</v>
      </c>
      <c r="F10" t="s">
        <v>32</v>
      </c>
      <c r="G10" t="s">
        <v>32</v>
      </c>
      <c r="H10" t="s">
        <v>32</v>
      </c>
      <c r="I10" t="s">
        <v>32</v>
      </c>
      <c r="J10">
        <v>2022</v>
      </c>
      <c r="K10" t="s">
        <v>32</v>
      </c>
      <c r="L10" t="s">
        <v>32</v>
      </c>
      <c r="M10" t="s">
        <v>100</v>
      </c>
      <c r="N10" t="str">
        <f>HYPERLINK("http://dx.doi.org/10.1109/ICTACSE50438.2022.10009728","http://dx.doi.org/10.1109/ICTACSE50438.2022.10009728")</f>
        <v>http://dx.doi.org/10.1109/ICTACSE50438.2022.10009728</v>
      </c>
      <c r="O10" t="s">
        <v>101</v>
      </c>
      <c r="P10" t="str">
        <f>HYPERLINK("https%3A%2F%2Fwww.webofscience.com%2Fwos%2Fwoscc%2Ffull-record%2FWOS:000932842500019","View Full Record in Web of Science")</f>
        <v>View Full Record in Web of Science</v>
      </c>
    </row>
    <row r="11" spans="1:16" x14ac:dyDescent="0.25">
      <c r="A11" t="s">
        <v>102</v>
      </c>
      <c r="B11" t="s">
        <v>103</v>
      </c>
      <c r="C11" t="s">
        <v>104</v>
      </c>
      <c r="D11" t="s">
        <v>105</v>
      </c>
      <c r="E11" t="s">
        <v>106</v>
      </c>
      <c r="F11" t="s">
        <v>107</v>
      </c>
      <c r="G11" t="s">
        <v>108</v>
      </c>
      <c r="H11" t="s">
        <v>109</v>
      </c>
      <c r="I11" t="s">
        <v>110</v>
      </c>
      <c r="J11">
        <v>2022</v>
      </c>
      <c r="K11">
        <v>35</v>
      </c>
      <c r="L11">
        <v>5</v>
      </c>
      <c r="M11" t="s">
        <v>111</v>
      </c>
      <c r="N11" t="str">
        <f>HYPERLINK("http://dx.doi.org/10.11607/ijp.7653","http://dx.doi.org/10.11607/ijp.7653")</f>
        <v>http://dx.doi.org/10.11607/ijp.7653</v>
      </c>
      <c r="O11" t="s">
        <v>112</v>
      </c>
      <c r="P11" t="str">
        <f>HYPERLINK("https%3A%2F%2Fwww.webofscience.com%2Fwos%2Fwoscc%2Ffull-record%2FWOS:000928215800014","View Full Record in Web of Science")</f>
        <v>View Full Record in Web of Science</v>
      </c>
    </row>
    <row r="12" spans="1:16" x14ac:dyDescent="0.25">
      <c r="A12" t="s">
        <v>113</v>
      </c>
      <c r="B12" t="s">
        <v>114</v>
      </c>
      <c r="C12" t="s">
        <v>115</v>
      </c>
      <c r="D12" t="s">
        <v>116</v>
      </c>
      <c r="E12" t="s">
        <v>117</v>
      </c>
      <c r="F12" t="s">
        <v>118</v>
      </c>
      <c r="G12" t="s">
        <v>119</v>
      </c>
      <c r="H12" t="s">
        <v>32</v>
      </c>
      <c r="I12" t="s">
        <v>120</v>
      </c>
      <c r="J12">
        <v>2022</v>
      </c>
      <c r="K12">
        <v>68</v>
      </c>
      <c r="L12">
        <v>6</v>
      </c>
      <c r="M12" t="s">
        <v>121</v>
      </c>
      <c r="N12" t="str">
        <f>HYPERLINK("http://dx.doi.org/10.31349/RevMexFis.68.061301","http://dx.doi.org/10.31349/RevMexFis.68.061301")</f>
        <v>http://dx.doi.org/10.31349/RevMexFis.68.061301</v>
      </c>
      <c r="O12" t="s">
        <v>122</v>
      </c>
      <c r="P12" t="str">
        <f>HYPERLINK("https%3A%2F%2Fwww.webofscience.com%2Fwos%2Fwoscc%2Ffull-record%2FWOS:000918296800009","View Full Record in Web of Science")</f>
        <v>View Full Record in Web of Science</v>
      </c>
    </row>
    <row r="13" spans="1:16" x14ac:dyDescent="0.25">
      <c r="A13" t="s">
        <v>123</v>
      </c>
      <c r="B13" t="s">
        <v>124</v>
      </c>
      <c r="C13" t="s">
        <v>125</v>
      </c>
      <c r="D13" t="s">
        <v>126</v>
      </c>
      <c r="E13" t="s">
        <v>127</v>
      </c>
      <c r="F13" t="s">
        <v>32</v>
      </c>
      <c r="G13" t="s">
        <v>128</v>
      </c>
      <c r="H13" t="s">
        <v>129</v>
      </c>
      <c r="I13" t="s">
        <v>45</v>
      </c>
      <c r="J13">
        <v>2022</v>
      </c>
      <c r="K13">
        <v>128</v>
      </c>
      <c r="L13">
        <v>3</v>
      </c>
      <c r="M13" t="s">
        <v>130</v>
      </c>
      <c r="N13" t="str">
        <f>HYPERLINK("http://dx.doi.org/10.1016/j.prosdent.2022.06.011","http://dx.doi.org/10.1016/j.prosdent.2022.06.011")</f>
        <v>http://dx.doi.org/10.1016/j.prosdent.2022.06.011</v>
      </c>
      <c r="O13" t="s">
        <v>131</v>
      </c>
      <c r="P13" t="str">
        <f>HYPERLINK("https%3A%2F%2Fwww.webofscience.com%2Fwos%2Fwoscc%2Ffull-record%2FWOS:000918002000001","View Full Record in Web of Science")</f>
        <v>View Full Record in Web of Science</v>
      </c>
    </row>
    <row r="14" spans="1:16" x14ac:dyDescent="0.25">
      <c r="A14" t="s">
        <v>132</v>
      </c>
      <c r="B14" t="s">
        <v>133</v>
      </c>
      <c r="C14" t="s">
        <v>134</v>
      </c>
      <c r="D14" t="s">
        <v>135</v>
      </c>
      <c r="E14" t="s">
        <v>136</v>
      </c>
      <c r="F14" t="s">
        <v>137</v>
      </c>
      <c r="G14" t="s">
        <v>138</v>
      </c>
      <c r="H14" t="s">
        <v>139</v>
      </c>
      <c r="I14" t="s">
        <v>120</v>
      </c>
      <c r="J14">
        <v>2022</v>
      </c>
      <c r="K14">
        <v>24</v>
      </c>
      <c r="L14" t="s">
        <v>25</v>
      </c>
      <c r="M14" t="s">
        <v>32</v>
      </c>
      <c r="N14" t="s">
        <v>32</v>
      </c>
      <c r="O14" t="s">
        <v>140</v>
      </c>
      <c r="P14" t="str">
        <f>HYPERLINK("https%3A%2F%2Fwww.webofscience.com%2Fwos%2Fwoscc%2Ffull-record%2FWOS:000921594000006","View Full Record in Web of Science")</f>
        <v>View Full Record in Web of Science</v>
      </c>
    </row>
    <row r="15" spans="1:16" x14ac:dyDescent="0.25">
      <c r="A15" t="s">
        <v>141</v>
      </c>
      <c r="B15" t="s">
        <v>142</v>
      </c>
      <c r="C15" t="s">
        <v>143</v>
      </c>
      <c r="D15" t="s">
        <v>135</v>
      </c>
      <c r="E15" t="s">
        <v>144</v>
      </c>
      <c r="F15" t="s">
        <v>145</v>
      </c>
      <c r="G15" t="s">
        <v>138</v>
      </c>
      <c r="H15" t="s">
        <v>139</v>
      </c>
      <c r="I15" t="s">
        <v>110</v>
      </c>
      <c r="J15">
        <v>2022</v>
      </c>
      <c r="K15">
        <v>24</v>
      </c>
      <c r="L15" t="s">
        <v>146</v>
      </c>
      <c r="M15" t="s">
        <v>32</v>
      </c>
      <c r="N15" t="s">
        <v>32</v>
      </c>
      <c r="O15" t="s">
        <v>147</v>
      </c>
      <c r="P15" t="str">
        <f>HYPERLINK("https%3A%2F%2Fwww.webofscience.com%2Fwos%2Fwoscc%2Ffull-record%2FWOS:000905311300005","View Full Record in Web of Science")</f>
        <v>View Full Record in Web of Science</v>
      </c>
    </row>
    <row r="16" spans="1:16" x14ac:dyDescent="0.25">
      <c r="A16" t="s">
        <v>148</v>
      </c>
      <c r="B16" t="s">
        <v>149</v>
      </c>
      <c r="C16" t="s">
        <v>150</v>
      </c>
      <c r="D16" t="s">
        <v>135</v>
      </c>
      <c r="E16" t="s">
        <v>151</v>
      </c>
      <c r="F16" t="s">
        <v>152</v>
      </c>
      <c r="G16" t="s">
        <v>138</v>
      </c>
      <c r="H16" t="s">
        <v>139</v>
      </c>
      <c r="I16" t="s">
        <v>110</v>
      </c>
      <c r="J16">
        <v>2022</v>
      </c>
      <c r="K16">
        <v>24</v>
      </c>
      <c r="L16" t="s">
        <v>146</v>
      </c>
      <c r="M16" t="s">
        <v>32</v>
      </c>
      <c r="N16" t="s">
        <v>32</v>
      </c>
      <c r="O16" t="s">
        <v>153</v>
      </c>
      <c r="P16" t="str">
        <f>HYPERLINK("https%3A%2F%2Fwww.webofscience.com%2Fwos%2Fwoscc%2Ffull-record%2FWOS:000905311300006","View Full Record in Web of Science")</f>
        <v>View Full Record in Web of Science</v>
      </c>
    </row>
    <row r="17" spans="1:16" x14ac:dyDescent="0.25">
      <c r="A17" t="s">
        <v>154</v>
      </c>
      <c r="B17" t="s">
        <v>155</v>
      </c>
      <c r="C17" t="s">
        <v>156</v>
      </c>
      <c r="D17" t="s">
        <v>157</v>
      </c>
      <c r="E17" t="s">
        <v>158</v>
      </c>
      <c r="F17" t="s">
        <v>159</v>
      </c>
      <c r="G17" t="s">
        <v>160</v>
      </c>
      <c r="H17" t="s">
        <v>161</v>
      </c>
      <c r="I17" t="s">
        <v>162</v>
      </c>
      <c r="J17">
        <v>2022</v>
      </c>
      <c r="K17">
        <v>189</v>
      </c>
      <c r="L17" t="s">
        <v>32</v>
      </c>
      <c r="M17" t="s">
        <v>163</v>
      </c>
      <c r="N17" t="str">
        <f>HYPERLINK("http://dx.doi.org/10.1016/j.bej.2022.108726","http://dx.doi.org/10.1016/j.bej.2022.108726")</f>
        <v>http://dx.doi.org/10.1016/j.bej.2022.108726</v>
      </c>
      <c r="O17" t="s">
        <v>164</v>
      </c>
      <c r="P17" t="str">
        <f>HYPERLINK("https%3A%2F%2Fwww.webofscience.com%2Fwos%2Fwoscc%2Ffull-record%2FWOS:000898621500006","View Full Record in Web of Science")</f>
        <v>View Full Record in Web of Science</v>
      </c>
    </row>
    <row r="18" spans="1:16" x14ac:dyDescent="0.25">
      <c r="A18" t="s">
        <v>165</v>
      </c>
      <c r="B18" t="s">
        <v>166</v>
      </c>
      <c r="C18" t="s">
        <v>167</v>
      </c>
      <c r="D18" t="s">
        <v>40</v>
      </c>
      <c r="E18" t="s">
        <v>168</v>
      </c>
      <c r="F18" t="s">
        <v>169</v>
      </c>
      <c r="G18" t="s">
        <v>43</v>
      </c>
      <c r="H18" t="s">
        <v>44</v>
      </c>
      <c r="I18" t="s">
        <v>170</v>
      </c>
      <c r="J18">
        <v>2022</v>
      </c>
      <c r="K18">
        <v>269</v>
      </c>
      <c r="L18" t="s">
        <v>32</v>
      </c>
      <c r="M18" t="s">
        <v>171</v>
      </c>
      <c r="N18" t="str">
        <f>HYPERLINK("http://dx.doi.org/10.1016/j.ijleo.2022.169834","http://dx.doi.org/10.1016/j.ijleo.2022.169834")</f>
        <v>http://dx.doi.org/10.1016/j.ijleo.2022.169834</v>
      </c>
      <c r="O18" t="s">
        <v>172</v>
      </c>
      <c r="P18" t="str">
        <f>HYPERLINK("https%3A%2F%2Fwww.webofscience.com%2Fwos%2Fwoscc%2Ffull-record%2FWOS:000901439200005","View Full Record in Web of Science")</f>
        <v>View Full Record in Web of Science</v>
      </c>
    </row>
    <row r="19" spans="1:16" x14ac:dyDescent="0.25">
      <c r="A19" t="s">
        <v>173</v>
      </c>
      <c r="B19" t="s">
        <v>174</v>
      </c>
      <c r="C19" t="s">
        <v>175</v>
      </c>
      <c r="D19" t="s">
        <v>176</v>
      </c>
      <c r="E19" t="s">
        <v>177</v>
      </c>
      <c r="F19" t="s">
        <v>178</v>
      </c>
      <c r="G19" t="s">
        <v>179</v>
      </c>
      <c r="H19" t="s">
        <v>180</v>
      </c>
      <c r="I19" t="s">
        <v>120</v>
      </c>
      <c r="J19">
        <v>2022</v>
      </c>
      <c r="K19">
        <v>16</v>
      </c>
      <c r="L19" t="s">
        <v>25</v>
      </c>
      <c r="M19" t="s">
        <v>32</v>
      </c>
      <c r="N19" t="s">
        <v>32</v>
      </c>
      <c r="O19" t="s">
        <v>181</v>
      </c>
      <c r="P19" t="str">
        <f>HYPERLINK("https%3A%2F%2Fwww.webofscience.com%2Fwos%2Fwoscc%2Ffull-record%2FWOS:000897978500008","View Full Record in Web of Science")</f>
        <v>View Full Record in Web of Science</v>
      </c>
    </row>
    <row r="20" spans="1:16" x14ac:dyDescent="0.25">
      <c r="A20" t="s">
        <v>182</v>
      </c>
      <c r="B20" t="s">
        <v>183</v>
      </c>
      <c r="C20" t="s">
        <v>184</v>
      </c>
      <c r="D20" t="s">
        <v>176</v>
      </c>
      <c r="E20" t="s">
        <v>185</v>
      </c>
      <c r="F20" t="s">
        <v>186</v>
      </c>
      <c r="G20" t="s">
        <v>179</v>
      </c>
      <c r="H20" t="s">
        <v>180</v>
      </c>
      <c r="I20" t="s">
        <v>120</v>
      </c>
      <c r="J20">
        <v>2022</v>
      </c>
      <c r="K20">
        <v>16</v>
      </c>
      <c r="L20" t="s">
        <v>25</v>
      </c>
      <c r="M20" t="s">
        <v>32</v>
      </c>
      <c r="N20" t="s">
        <v>32</v>
      </c>
      <c r="O20" t="s">
        <v>187</v>
      </c>
      <c r="P20" t="str">
        <f>HYPERLINK("https%3A%2F%2Fwww.webofscience.com%2Fwos%2Fwoscc%2Ffull-record%2FWOS:000897978500009","View Full Record in Web of Science")</f>
        <v>View Full Record in Web of Science</v>
      </c>
    </row>
    <row r="21" spans="1:16" x14ac:dyDescent="0.25">
      <c r="A21" t="s">
        <v>188</v>
      </c>
      <c r="B21" t="s">
        <v>189</v>
      </c>
      <c r="C21" t="s">
        <v>190</v>
      </c>
      <c r="D21" t="s">
        <v>191</v>
      </c>
      <c r="E21" t="s">
        <v>192</v>
      </c>
      <c r="F21" t="s">
        <v>193</v>
      </c>
      <c r="G21" t="s">
        <v>194</v>
      </c>
      <c r="H21" t="s">
        <v>195</v>
      </c>
      <c r="I21" t="s">
        <v>196</v>
      </c>
      <c r="J21">
        <v>2022</v>
      </c>
      <c r="K21">
        <v>36</v>
      </c>
      <c r="L21" t="s">
        <v>197</v>
      </c>
      <c r="M21" t="s">
        <v>198</v>
      </c>
      <c r="N21" t="str">
        <f>HYPERLINK("http://dx.doi.org/10.1142/S0217984922501494","http://dx.doi.org/10.1142/S0217984922501494")</f>
        <v>http://dx.doi.org/10.1142/S0217984922501494</v>
      </c>
      <c r="O21" t="s">
        <v>199</v>
      </c>
      <c r="P21" t="str">
        <f>HYPERLINK("https%3A%2F%2Fwww.webofscience.com%2Fwos%2Fwoscc%2Ffull-record%2FWOS:000898143900007","View Full Record in Web of Science")</f>
        <v>View Full Record in Web of Science</v>
      </c>
    </row>
    <row r="22" spans="1:16" x14ac:dyDescent="0.25">
      <c r="A22" t="s">
        <v>200</v>
      </c>
      <c r="B22" t="s">
        <v>201</v>
      </c>
      <c r="C22" t="s">
        <v>202</v>
      </c>
      <c r="D22" t="s">
        <v>203</v>
      </c>
      <c r="E22" t="s">
        <v>204</v>
      </c>
      <c r="F22" t="s">
        <v>205</v>
      </c>
      <c r="G22" t="s">
        <v>206</v>
      </c>
      <c r="H22" t="s">
        <v>32</v>
      </c>
      <c r="I22" t="s">
        <v>207</v>
      </c>
      <c r="J22">
        <v>2022</v>
      </c>
      <c r="K22">
        <v>17</v>
      </c>
      <c r="L22">
        <v>8</v>
      </c>
      <c r="M22" t="s">
        <v>208</v>
      </c>
      <c r="N22" t="str">
        <f>HYPERLINK("http://dx.doi.org/10.1371/journal.pone.0273921","http://dx.doi.org/10.1371/journal.pone.0273921")</f>
        <v>http://dx.doi.org/10.1371/journal.pone.0273921</v>
      </c>
      <c r="O22" t="s">
        <v>209</v>
      </c>
      <c r="P22" t="str">
        <f>HYPERLINK("https%3A%2F%2Fwww.webofscience.com%2Fwos%2Fwoscc%2Ffull-record%2FWOS:000892368200080","View Full Record in Web of Science")</f>
        <v>View Full Record in Web of Science</v>
      </c>
    </row>
    <row r="23" spans="1:16" x14ac:dyDescent="0.25">
      <c r="A23" t="s">
        <v>210</v>
      </c>
      <c r="B23" t="s">
        <v>211</v>
      </c>
      <c r="C23" t="s">
        <v>212</v>
      </c>
      <c r="D23" t="s">
        <v>51</v>
      </c>
      <c r="E23" t="s">
        <v>213</v>
      </c>
      <c r="F23" t="s">
        <v>214</v>
      </c>
      <c r="G23" t="s">
        <v>54</v>
      </c>
      <c r="H23" t="s">
        <v>55</v>
      </c>
      <c r="I23" t="s">
        <v>215</v>
      </c>
      <c r="J23">
        <v>2022</v>
      </c>
      <c r="K23">
        <v>439</v>
      </c>
      <c r="L23" t="s">
        <v>32</v>
      </c>
      <c r="M23" t="s">
        <v>216</v>
      </c>
      <c r="N23" t="str">
        <f>HYPERLINK("http://dx.doi.org/10.1016/j.physleta.2022.128123","http://dx.doi.org/10.1016/j.physleta.2022.128123")</f>
        <v>http://dx.doi.org/10.1016/j.physleta.2022.128123</v>
      </c>
      <c r="O23" t="s">
        <v>217</v>
      </c>
      <c r="P23" t="str">
        <f>HYPERLINK("https%3A%2F%2Fwww.webofscience.com%2Fwos%2Fwoscc%2Ffull-record%2FWOS:000895913500001","View Full Record in Web of Science")</f>
        <v>View Full Record in Web of Science</v>
      </c>
    </row>
    <row r="24" spans="1:16" x14ac:dyDescent="0.25">
      <c r="A24" t="s">
        <v>218</v>
      </c>
      <c r="B24" t="s">
        <v>219</v>
      </c>
      <c r="C24" t="s">
        <v>220</v>
      </c>
      <c r="D24" t="s">
        <v>221</v>
      </c>
      <c r="E24" t="s">
        <v>222</v>
      </c>
      <c r="F24" t="s">
        <v>223</v>
      </c>
      <c r="G24" t="s">
        <v>32</v>
      </c>
      <c r="H24" t="s">
        <v>224</v>
      </c>
      <c r="I24" t="s">
        <v>170</v>
      </c>
      <c r="J24">
        <v>2022</v>
      </c>
      <c r="K24">
        <v>8</v>
      </c>
      <c r="L24">
        <v>11</v>
      </c>
      <c r="M24" t="s">
        <v>225</v>
      </c>
      <c r="N24" t="str">
        <f>HYPERLINK("http://dx.doi.org/10.3390/universe8110584","http://dx.doi.org/10.3390/universe8110584")</f>
        <v>http://dx.doi.org/10.3390/universe8110584</v>
      </c>
      <c r="O24" t="s">
        <v>226</v>
      </c>
      <c r="P24" t="str">
        <f>HYPERLINK("https%3A%2F%2Fwww.webofscience.com%2Fwos%2Fwoscc%2Ffull-record%2FWOS:000896012100001","View Full Record in Web of Science")</f>
        <v>View Full Record in Web of Science</v>
      </c>
    </row>
    <row r="25" spans="1:16" x14ac:dyDescent="0.25">
      <c r="A25" t="s">
        <v>227</v>
      </c>
      <c r="B25" t="s">
        <v>228</v>
      </c>
      <c r="C25" t="s">
        <v>229</v>
      </c>
      <c r="D25" t="s">
        <v>230</v>
      </c>
      <c r="E25" t="s">
        <v>231</v>
      </c>
      <c r="F25" t="s">
        <v>232</v>
      </c>
      <c r="G25" t="s">
        <v>233</v>
      </c>
      <c r="H25" t="s">
        <v>234</v>
      </c>
      <c r="I25" t="s">
        <v>235</v>
      </c>
      <c r="J25">
        <v>2022</v>
      </c>
      <c r="K25">
        <v>2022</v>
      </c>
      <c r="L25" t="s">
        <v>32</v>
      </c>
      <c r="M25" t="s">
        <v>236</v>
      </c>
      <c r="N25" t="str">
        <f>HYPERLINK("http://dx.doi.org/10.1155/2022/9637098","http://dx.doi.org/10.1155/2022/9637098")</f>
        <v>http://dx.doi.org/10.1155/2022/9637098</v>
      </c>
      <c r="O25" t="s">
        <v>237</v>
      </c>
      <c r="P25" t="str">
        <f>HYPERLINK("https%3A%2F%2Fwww.webofscience.com%2Fwos%2Fwoscc%2Ffull-record%2FWOS:000863163800011","View Full Record in Web of Science")</f>
        <v>View Full Record in Web of Science</v>
      </c>
    </row>
    <row r="26" spans="1:16" x14ac:dyDescent="0.25">
      <c r="A26" t="s">
        <v>238</v>
      </c>
      <c r="B26" t="s">
        <v>239</v>
      </c>
      <c r="C26" t="s">
        <v>240</v>
      </c>
      <c r="D26" t="s">
        <v>241</v>
      </c>
      <c r="E26" t="s">
        <v>242</v>
      </c>
      <c r="F26" t="s">
        <v>243</v>
      </c>
      <c r="G26" t="s">
        <v>32</v>
      </c>
      <c r="H26" t="s">
        <v>244</v>
      </c>
      <c r="I26" t="s">
        <v>170</v>
      </c>
      <c r="J26">
        <v>2022</v>
      </c>
      <c r="K26">
        <v>11</v>
      </c>
      <c r="L26">
        <v>11</v>
      </c>
      <c r="M26" t="s">
        <v>245</v>
      </c>
      <c r="N26" t="str">
        <f>HYPERLINK("http://dx.doi.org/10.3390/axioms11110640","http://dx.doi.org/10.3390/axioms11110640")</f>
        <v>http://dx.doi.org/10.3390/axioms11110640</v>
      </c>
      <c r="O26" t="s">
        <v>246</v>
      </c>
      <c r="P26" t="str">
        <f>HYPERLINK("https%3A%2F%2Fwww.webofscience.com%2Fwos%2Fwoscc%2Ffull-record%2FWOS:000894802700001","View Full Record in Web of Science")</f>
        <v>View Full Record in Web of Science</v>
      </c>
    </row>
    <row r="27" spans="1:16" x14ac:dyDescent="0.25">
      <c r="A27" t="s">
        <v>247</v>
      </c>
      <c r="B27" t="s">
        <v>248</v>
      </c>
      <c r="C27" t="s">
        <v>249</v>
      </c>
      <c r="D27" t="s">
        <v>71</v>
      </c>
      <c r="E27" t="s">
        <v>32</v>
      </c>
      <c r="F27" t="s">
        <v>250</v>
      </c>
      <c r="G27" t="s">
        <v>74</v>
      </c>
      <c r="H27" t="s">
        <v>75</v>
      </c>
      <c r="I27" t="s">
        <v>32</v>
      </c>
      <c r="J27">
        <v>2022</v>
      </c>
      <c r="K27">
        <v>46</v>
      </c>
      <c r="L27">
        <v>5</v>
      </c>
      <c r="M27" t="s">
        <v>251</v>
      </c>
      <c r="N27" t="str">
        <f>HYPERLINK("http://dx.doi.org/10.55730/1300-0152.2626","http://dx.doi.org/10.55730/1300-0152.2626")</f>
        <v>http://dx.doi.org/10.55730/1300-0152.2626</v>
      </c>
      <c r="O27" t="s">
        <v>252</v>
      </c>
      <c r="P27" t="str">
        <f>HYPERLINK("https%3A%2F%2Fwww.webofscience.com%2Fwos%2Fwoscc%2Ffull-record%2FWOS:000888973000005","View Full Record in Web of Science")</f>
        <v>View Full Record in Web of Science</v>
      </c>
    </row>
    <row r="28" spans="1:16" x14ac:dyDescent="0.25">
      <c r="A28" t="s">
        <v>253</v>
      </c>
      <c r="B28" t="s">
        <v>254</v>
      </c>
      <c r="C28" t="s">
        <v>255</v>
      </c>
      <c r="D28" t="s">
        <v>256</v>
      </c>
      <c r="E28" t="s">
        <v>257</v>
      </c>
      <c r="F28" t="s">
        <v>258</v>
      </c>
      <c r="G28" t="s">
        <v>32</v>
      </c>
      <c r="H28" t="s">
        <v>259</v>
      </c>
      <c r="I28" t="s">
        <v>170</v>
      </c>
      <c r="J28">
        <v>2022</v>
      </c>
      <c r="K28">
        <v>27</v>
      </c>
      <c r="L28">
        <v>22</v>
      </c>
      <c r="M28" t="s">
        <v>260</v>
      </c>
      <c r="N28" t="str">
        <f>HYPERLINK("http://dx.doi.org/10.3390/molecules27227817","http://dx.doi.org/10.3390/molecules27227817")</f>
        <v>http://dx.doi.org/10.3390/molecules27227817</v>
      </c>
      <c r="O28" t="s">
        <v>261</v>
      </c>
      <c r="P28" t="str">
        <f>HYPERLINK("https%3A%2F%2Fwww.webofscience.com%2Fwos%2Fwoscc%2Ffull-record%2FWOS:000887401600001","View Full Record in Web of Science")</f>
        <v>View Full Record in Web of Science</v>
      </c>
    </row>
    <row r="29" spans="1:16" x14ac:dyDescent="0.25">
      <c r="A29" t="s">
        <v>262</v>
      </c>
      <c r="B29" t="s">
        <v>263</v>
      </c>
      <c r="C29" t="s">
        <v>264</v>
      </c>
      <c r="D29" t="s">
        <v>265</v>
      </c>
      <c r="E29" t="s">
        <v>266</v>
      </c>
      <c r="F29" t="s">
        <v>267</v>
      </c>
      <c r="G29" t="s">
        <v>32</v>
      </c>
      <c r="H29" t="s">
        <v>268</v>
      </c>
      <c r="I29" t="s">
        <v>170</v>
      </c>
      <c r="J29">
        <v>2022</v>
      </c>
      <c r="K29">
        <v>12</v>
      </c>
      <c r="L29">
        <v>22</v>
      </c>
      <c r="M29" t="s">
        <v>269</v>
      </c>
      <c r="N29" t="str">
        <f>HYPERLINK("http://dx.doi.org/10.3390/app122211813","http://dx.doi.org/10.3390/app122211813")</f>
        <v>http://dx.doi.org/10.3390/app122211813</v>
      </c>
      <c r="O29" t="s">
        <v>270</v>
      </c>
      <c r="P29" t="str">
        <f>HYPERLINK("https%3A%2F%2Fwww.webofscience.com%2Fwos%2Fwoscc%2Ffull-record%2FWOS:000887037200001","View Full Record in Web of Science")</f>
        <v>View Full Record in Web of Science</v>
      </c>
    </row>
    <row r="30" spans="1:16" x14ac:dyDescent="0.25">
      <c r="A30" t="s">
        <v>271</v>
      </c>
      <c r="B30" t="s">
        <v>272</v>
      </c>
      <c r="C30" t="s">
        <v>273</v>
      </c>
      <c r="D30" t="s">
        <v>274</v>
      </c>
      <c r="E30" t="s">
        <v>275</v>
      </c>
      <c r="F30" t="s">
        <v>276</v>
      </c>
      <c r="G30" t="s">
        <v>32</v>
      </c>
      <c r="H30" t="s">
        <v>277</v>
      </c>
      <c r="I30" t="s">
        <v>170</v>
      </c>
      <c r="J30">
        <v>2022</v>
      </c>
      <c r="K30">
        <v>11</v>
      </c>
      <c r="L30">
        <v>22</v>
      </c>
      <c r="M30" t="s">
        <v>278</v>
      </c>
      <c r="N30" t="str">
        <f>HYPERLINK("http://dx.doi.org/10.3390/electronics11223653","http://dx.doi.org/10.3390/electronics11223653")</f>
        <v>http://dx.doi.org/10.3390/electronics11223653</v>
      </c>
      <c r="O30" t="s">
        <v>279</v>
      </c>
      <c r="P30" t="str">
        <f>HYPERLINK("https%3A%2F%2Fwww.webofscience.com%2Fwos%2Fwoscc%2Ffull-record%2FWOS:000887112100001","View Full Record in Web of Science")</f>
        <v>View Full Record in Web of Science</v>
      </c>
    </row>
    <row r="31" spans="1:16" x14ac:dyDescent="0.25">
      <c r="A31" t="s">
        <v>280</v>
      </c>
      <c r="B31" t="s">
        <v>281</v>
      </c>
      <c r="C31" t="s">
        <v>282</v>
      </c>
      <c r="D31" t="s">
        <v>116</v>
      </c>
      <c r="E31" t="s">
        <v>283</v>
      </c>
      <c r="F31" t="s">
        <v>284</v>
      </c>
      <c r="G31" t="s">
        <v>119</v>
      </c>
      <c r="H31" t="s">
        <v>32</v>
      </c>
      <c r="I31" t="s">
        <v>110</v>
      </c>
      <c r="J31">
        <v>2022</v>
      </c>
      <c r="K31">
        <v>68</v>
      </c>
      <c r="L31">
        <v>5</v>
      </c>
      <c r="M31" t="s">
        <v>285</v>
      </c>
      <c r="N31" t="str">
        <f>HYPERLINK("http://dx.doi.org/10.31349/RevMexFis.68.051403","http://dx.doi.org/10.31349/RevMexFis.68.051403")</f>
        <v>http://dx.doi.org/10.31349/RevMexFis.68.051403</v>
      </c>
      <c r="O31" t="s">
        <v>286</v>
      </c>
      <c r="P31" t="str">
        <f>HYPERLINK("https%3A%2F%2Fwww.webofscience.com%2Fwos%2Fwoscc%2Ffull-record%2FWOS:000884454600006","View Full Record in Web of Science")</f>
        <v>View Full Record in Web of Science</v>
      </c>
    </row>
    <row r="32" spans="1:16" x14ac:dyDescent="0.25">
      <c r="A32" t="s">
        <v>287</v>
      </c>
      <c r="B32" t="s">
        <v>288</v>
      </c>
      <c r="C32" t="s">
        <v>289</v>
      </c>
      <c r="D32" t="s">
        <v>290</v>
      </c>
      <c r="E32" t="s">
        <v>291</v>
      </c>
      <c r="F32" t="s">
        <v>292</v>
      </c>
      <c r="G32" t="s">
        <v>32</v>
      </c>
      <c r="H32" t="s">
        <v>293</v>
      </c>
      <c r="I32" t="s">
        <v>170</v>
      </c>
      <c r="J32">
        <v>2022</v>
      </c>
      <c r="K32">
        <v>14</v>
      </c>
      <c r="L32">
        <v>11</v>
      </c>
      <c r="M32" t="s">
        <v>294</v>
      </c>
      <c r="N32" t="str">
        <f>HYPERLINK("http://dx.doi.org/10.3390/sym14112370","http://dx.doi.org/10.3390/sym14112370")</f>
        <v>http://dx.doi.org/10.3390/sym14112370</v>
      </c>
      <c r="O32" t="s">
        <v>295</v>
      </c>
      <c r="P32" t="str">
        <f>HYPERLINK("https%3A%2F%2Fwww.webofscience.com%2Fwos%2Fwoscc%2Ffull-record%2FWOS:000883981400001","View Full Record in Web of Science")</f>
        <v>View Full Record in Web of Science</v>
      </c>
    </row>
    <row r="33" spans="1:16" x14ac:dyDescent="0.25">
      <c r="A33" t="s">
        <v>296</v>
      </c>
      <c r="B33" t="s">
        <v>297</v>
      </c>
      <c r="C33" t="s">
        <v>298</v>
      </c>
      <c r="D33" t="s">
        <v>299</v>
      </c>
      <c r="E33" t="s">
        <v>300</v>
      </c>
      <c r="F33" t="s">
        <v>301</v>
      </c>
      <c r="G33" t="s">
        <v>302</v>
      </c>
      <c r="H33" t="s">
        <v>32</v>
      </c>
      <c r="I33" t="s">
        <v>303</v>
      </c>
      <c r="J33">
        <v>2022</v>
      </c>
      <c r="K33">
        <v>10</v>
      </c>
      <c r="L33" t="s">
        <v>32</v>
      </c>
      <c r="M33" t="s">
        <v>304</v>
      </c>
      <c r="N33" t="str">
        <f>HYPERLINK("http://dx.doi.org/10.3389/fenrg.2022.962086","http://dx.doi.org/10.3389/fenrg.2022.962086")</f>
        <v>http://dx.doi.org/10.3389/fenrg.2022.962086</v>
      </c>
      <c r="O33" t="s">
        <v>305</v>
      </c>
      <c r="P33" t="str">
        <f>HYPERLINK("https%3A%2F%2Fwww.webofscience.com%2Fwos%2Fwoscc%2Ffull-record%2FWOS:000883614700001","View Full Record in Web of Science")</f>
        <v>View Full Record in Web of Science</v>
      </c>
    </row>
    <row r="34" spans="1:16" x14ac:dyDescent="0.25">
      <c r="A34" t="s">
        <v>306</v>
      </c>
      <c r="B34" t="s">
        <v>307</v>
      </c>
      <c r="C34" t="s">
        <v>308</v>
      </c>
      <c r="D34" t="s">
        <v>309</v>
      </c>
      <c r="E34" t="s">
        <v>310</v>
      </c>
      <c r="F34" t="s">
        <v>311</v>
      </c>
      <c r="G34" t="s">
        <v>32</v>
      </c>
      <c r="H34" t="s">
        <v>312</v>
      </c>
      <c r="I34" t="s">
        <v>170</v>
      </c>
      <c r="J34">
        <v>2022</v>
      </c>
      <c r="K34">
        <v>10</v>
      </c>
      <c r="L34">
        <v>21</v>
      </c>
      <c r="M34" t="s">
        <v>313</v>
      </c>
      <c r="N34" t="str">
        <f>HYPERLINK("http://dx.doi.org/10.3390/math10214085","http://dx.doi.org/10.3390/math10214085")</f>
        <v>http://dx.doi.org/10.3390/math10214085</v>
      </c>
      <c r="O34" t="s">
        <v>314</v>
      </c>
      <c r="P34" t="str">
        <f>HYPERLINK("https%3A%2F%2Fwww.webofscience.com%2Fwos%2Fwoscc%2Ffull-record%2FWOS:000883459400001","View Full Record in Web of Science")</f>
        <v>View Full Record in Web of Science</v>
      </c>
    </row>
    <row r="35" spans="1:16" x14ac:dyDescent="0.25">
      <c r="A35" t="s">
        <v>315</v>
      </c>
      <c r="B35" t="s">
        <v>316</v>
      </c>
      <c r="C35" t="s">
        <v>317</v>
      </c>
      <c r="D35" t="s">
        <v>299</v>
      </c>
      <c r="E35" t="s">
        <v>318</v>
      </c>
      <c r="F35" t="s">
        <v>32</v>
      </c>
      <c r="G35" t="s">
        <v>302</v>
      </c>
      <c r="H35" t="s">
        <v>32</v>
      </c>
      <c r="I35" t="s">
        <v>319</v>
      </c>
      <c r="J35">
        <v>2022</v>
      </c>
      <c r="K35">
        <v>10</v>
      </c>
      <c r="L35" t="s">
        <v>32</v>
      </c>
      <c r="M35" t="s">
        <v>320</v>
      </c>
      <c r="N35" t="str">
        <f>HYPERLINK("http://dx.doi.org/10.3389/fenrg.2022.963583","http://dx.doi.org/10.3389/fenrg.2022.963583")</f>
        <v>http://dx.doi.org/10.3389/fenrg.2022.963583</v>
      </c>
      <c r="O35" t="s">
        <v>321</v>
      </c>
      <c r="P35" t="str">
        <f>HYPERLINK("https%3A%2F%2Fwww.webofscience.com%2Fwos%2Fwoscc%2Ffull-record%2FWOS:000883130100001","View Full Record in Web of Science")</f>
        <v>View Full Record in Web of Science</v>
      </c>
    </row>
    <row r="36" spans="1:16" x14ac:dyDescent="0.25">
      <c r="A36" t="s">
        <v>322</v>
      </c>
      <c r="B36" t="s">
        <v>323</v>
      </c>
      <c r="C36" t="s">
        <v>324</v>
      </c>
      <c r="D36" t="s">
        <v>176</v>
      </c>
      <c r="E36" t="s">
        <v>185</v>
      </c>
      <c r="F36" t="s">
        <v>186</v>
      </c>
      <c r="G36" t="s">
        <v>179</v>
      </c>
      <c r="H36" t="s">
        <v>180</v>
      </c>
      <c r="I36" t="s">
        <v>110</v>
      </c>
      <c r="J36">
        <v>2022</v>
      </c>
      <c r="K36">
        <v>16</v>
      </c>
      <c r="L36" t="s">
        <v>146</v>
      </c>
      <c r="M36" t="s">
        <v>32</v>
      </c>
      <c r="N36" t="s">
        <v>32</v>
      </c>
      <c r="O36" t="s">
        <v>325</v>
      </c>
      <c r="P36" t="str">
        <f>HYPERLINK("https%3A%2F%2Fwww.webofscience.com%2Fwos%2Fwoscc%2Ffull-record%2FWOS:000880187100013","View Full Record in Web of Science")</f>
        <v>View Full Record in Web of Science</v>
      </c>
    </row>
    <row r="37" spans="1:16" x14ac:dyDescent="0.25">
      <c r="A37" t="s">
        <v>326</v>
      </c>
      <c r="B37" t="s">
        <v>327</v>
      </c>
      <c r="C37" t="s">
        <v>328</v>
      </c>
      <c r="D37" t="s">
        <v>329</v>
      </c>
      <c r="E37" t="s">
        <v>330</v>
      </c>
      <c r="F37" t="s">
        <v>331</v>
      </c>
      <c r="G37" t="s">
        <v>332</v>
      </c>
      <c r="H37" t="s">
        <v>333</v>
      </c>
      <c r="I37" t="s">
        <v>32</v>
      </c>
      <c r="J37">
        <v>2022</v>
      </c>
      <c r="K37">
        <v>74</v>
      </c>
      <c r="L37">
        <v>4</v>
      </c>
      <c r="M37" t="s">
        <v>32</v>
      </c>
      <c r="N37" t="s">
        <v>32</v>
      </c>
      <c r="O37" t="s">
        <v>334</v>
      </c>
      <c r="P37" t="str">
        <f>HYPERLINK("https%3A%2F%2Fwww.webofscience.com%2Fwos%2Fwoscc%2Ffull-record%2FWOS:000884295200002","View Full Record in Web of Science")</f>
        <v>View Full Record in Web of Science</v>
      </c>
    </row>
    <row r="38" spans="1:16" x14ac:dyDescent="0.25">
      <c r="A38" t="s">
        <v>335</v>
      </c>
      <c r="B38" t="s">
        <v>336</v>
      </c>
      <c r="C38" t="s">
        <v>337</v>
      </c>
      <c r="D38" t="s">
        <v>338</v>
      </c>
      <c r="E38" t="s">
        <v>339</v>
      </c>
      <c r="F38" t="s">
        <v>258</v>
      </c>
      <c r="G38" t="s">
        <v>340</v>
      </c>
      <c r="H38" t="s">
        <v>341</v>
      </c>
      <c r="I38" t="s">
        <v>170</v>
      </c>
      <c r="J38">
        <v>2022</v>
      </c>
      <c r="K38">
        <v>625</v>
      </c>
      <c r="L38" t="s">
        <v>32</v>
      </c>
      <c r="M38" t="s">
        <v>342</v>
      </c>
      <c r="N38" t="str">
        <f>HYPERLINK("http://dx.doi.org/10.1016/j.jcis.2022.06.069","http://dx.doi.org/10.1016/j.jcis.2022.06.069")</f>
        <v>http://dx.doi.org/10.1016/j.jcis.2022.06.069</v>
      </c>
      <c r="O38" t="s">
        <v>343</v>
      </c>
      <c r="P38" t="str">
        <f>HYPERLINK("https%3A%2F%2Fwww.webofscience.com%2Fwos%2Fwoscc%2Ffull-record%2FWOS:000881237800010","View Full Record in Web of Science")</f>
        <v>View Full Record in Web of Science</v>
      </c>
    </row>
    <row r="39" spans="1:16" x14ac:dyDescent="0.25">
      <c r="A39" t="s">
        <v>344</v>
      </c>
      <c r="B39" t="s">
        <v>345</v>
      </c>
      <c r="C39" t="s">
        <v>346</v>
      </c>
      <c r="D39" t="s">
        <v>347</v>
      </c>
      <c r="E39" t="s">
        <v>348</v>
      </c>
      <c r="F39" t="s">
        <v>349</v>
      </c>
      <c r="G39" t="s">
        <v>350</v>
      </c>
      <c r="H39" t="s">
        <v>32</v>
      </c>
      <c r="I39" t="s">
        <v>83</v>
      </c>
      <c r="J39">
        <v>2022</v>
      </c>
      <c r="K39">
        <v>43</v>
      </c>
      <c r="L39" t="s">
        <v>32</v>
      </c>
      <c r="M39" t="s">
        <v>351</v>
      </c>
      <c r="N39" t="str">
        <f>HYPERLINK("http://dx.doi.org/10.1016/j.rinp.2022.106040","http://dx.doi.org/10.1016/j.rinp.2022.106040")</f>
        <v>http://dx.doi.org/10.1016/j.rinp.2022.106040</v>
      </c>
      <c r="O39" t="s">
        <v>352</v>
      </c>
      <c r="P39" t="str">
        <f>HYPERLINK("https%3A%2F%2Fwww.webofscience.com%2Fwos%2Fwoscc%2Ffull-record%2FWOS:000879537000004","View Full Record in Web of Science")</f>
        <v>View Full Record in Web of Science</v>
      </c>
    </row>
    <row r="40" spans="1:16" x14ac:dyDescent="0.25">
      <c r="A40" t="s">
        <v>353</v>
      </c>
      <c r="B40" t="s">
        <v>354</v>
      </c>
      <c r="C40" t="s">
        <v>355</v>
      </c>
      <c r="D40" t="s">
        <v>176</v>
      </c>
      <c r="E40" t="s">
        <v>185</v>
      </c>
      <c r="F40" t="s">
        <v>186</v>
      </c>
      <c r="G40" t="s">
        <v>179</v>
      </c>
      <c r="H40" t="s">
        <v>180</v>
      </c>
      <c r="I40" t="s">
        <v>356</v>
      </c>
      <c r="J40">
        <v>2022</v>
      </c>
      <c r="K40">
        <v>16</v>
      </c>
      <c r="L40" t="s">
        <v>357</v>
      </c>
      <c r="M40" t="s">
        <v>32</v>
      </c>
      <c r="N40" t="s">
        <v>32</v>
      </c>
      <c r="O40" t="s">
        <v>358</v>
      </c>
      <c r="P40" t="str">
        <f>HYPERLINK("https%3A%2F%2Fwww.webofscience.com%2Fwos%2Fwoscc%2Ffull-record%2FWOS:000880171800008","View Full Record in Web of Science")</f>
        <v>View Full Record in Web of Science</v>
      </c>
    </row>
    <row r="41" spans="1:16" x14ac:dyDescent="0.25">
      <c r="A41" t="s">
        <v>359</v>
      </c>
      <c r="B41" t="s">
        <v>360</v>
      </c>
      <c r="C41" t="s">
        <v>361</v>
      </c>
      <c r="D41" t="s">
        <v>176</v>
      </c>
      <c r="E41" t="s">
        <v>362</v>
      </c>
      <c r="F41" t="s">
        <v>363</v>
      </c>
      <c r="G41" t="s">
        <v>179</v>
      </c>
      <c r="H41" t="s">
        <v>180</v>
      </c>
      <c r="I41" t="s">
        <v>356</v>
      </c>
      <c r="J41">
        <v>2022</v>
      </c>
      <c r="K41">
        <v>16</v>
      </c>
      <c r="L41" t="s">
        <v>357</v>
      </c>
      <c r="M41" t="s">
        <v>32</v>
      </c>
      <c r="N41" t="s">
        <v>32</v>
      </c>
      <c r="O41" t="s">
        <v>364</v>
      </c>
      <c r="P41" t="str">
        <f>HYPERLINK("https%3A%2F%2Fwww.webofscience.com%2Fwos%2Fwoscc%2Ffull-record%2FWOS:000880171800009","View Full Record in Web of Science")</f>
        <v>View Full Record in Web of Science</v>
      </c>
    </row>
    <row r="42" spans="1:16" x14ac:dyDescent="0.25">
      <c r="A42" t="s">
        <v>365</v>
      </c>
      <c r="B42" t="s">
        <v>366</v>
      </c>
      <c r="C42" t="s">
        <v>367</v>
      </c>
      <c r="D42" t="s">
        <v>368</v>
      </c>
      <c r="E42" t="s">
        <v>369</v>
      </c>
      <c r="F42" t="s">
        <v>370</v>
      </c>
      <c r="G42" t="s">
        <v>371</v>
      </c>
      <c r="H42" t="s">
        <v>32</v>
      </c>
      <c r="I42" t="s">
        <v>372</v>
      </c>
      <c r="J42">
        <v>2022</v>
      </c>
      <c r="K42">
        <v>20</v>
      </c>
      <c r="L42">
        <v>1</v>
      </c>
      <c r="M42" t="s">
        <v>373</v>
      </c>
      <c r="N42" t="str">
        <f>HYPERLINK("http://dx.doi.org/10.1515/phys-2022-0185","http://dx.doi.org/10.1515/phys-2022-0185")</f>
        <v>http://dx.doi.org/10.1515/phys-2022-0185</v>
      </c>
      <c r="O42" t="s">
        <v>374</v>
      </c>
      <c r="P42" t="str">
        <f>HYPERLINK("https%3A%2F%2Fwww.webofscience.com%2Fwos%2Fwoscc%2Ffull-record%2FWOS:000877958100001","View Full Record in Web of Science")</f>
        <v>View Full Record in Web of Science</v>
      </c>
    </row>
    <row r="43" spans="1:16" x14ac:dyDescent="0.25">
      <c r="A43" t="s">
        <v>375</v>
      </c>
      <c r="B43" t="s">
        <v>376</v>
      </c>
      <c r="C43" t="s">
        <v>377</v>
      </c>
      <c r="D43" t="s">
        <v>40</v>
      </c>
      <c r="E43" t="s">
        <v>378</v>
      </c>
      <c r="F43" t="s">
        <v>379</v>
      </c>
      <c r="G43" t="s">
        <v>43</v>
      </c>
      <c r="H43" t="s">
        <v>44</v>
      </c>
      <c r="I43" t="s">
        <v>170</v>
      </c>
      <c r="J43">
        <v>2022</v>
      </c>
      <c r="K43">
        <v>270</v>
      </c>
      <c r="L43" t="s">
        <v>32</v>
      </c>
      <c r="M43" t="s">
        <v>380</v>
      </c>
      <c r="N43" t="str">
        <f>HYPERLINK("http://dx.doi.org/10.1016/j.ijleo.2022.170045","http://dx.doi.org/10.1016/j.ijleo.2022.170045")</f>
        <v>http://dx.doi.org/10.1016/j.ijleo.2022.170045</v>
      </c>
      <c r="O43" t="s">
        <v>381</v>
      </c>
      <c r="P43" t="str">
        <f>HYPERLINK("https%3A%2F%2Fwww.webofscience.com%2Fwos%2Fwoscc%2Ffull-record%2FWOS:000878190900001","View Full Record in Web of Science")</f>
        <v>View Full Record in Web of Science</v>
      </c>
    </row>
    <row r="44" spans="1:16" x14ac:dyDescent="0.25">
      <c r="A44" t="s">
        <v>382</v>
      </c>
      <c r="B44" t="s">
        <v>383</v>
      </c>
      <c r="C44" t="s">
        <v>384</v>
      </c>
      <c r="D44" t="s">
        <v>40</v>
      </c>
      <c r="E44" t="s">
        <v>385</v>
      </c>
      <c r="F44" t="s">
        <v>386</v>
      </c>
      <c r="G44" t="s">
        <v>43</v>
      </c>
      <c r="H44" t="s">
        <v>44</v>
      </c>
      <c r="I44" t="s">
        <v>170</v>
      </c>
      <c r="J44">
        <v>2022</v>
      </c>
      <c r="K44">
        <v>269</v>
      </c>
      <c r="L44" t="s">
        <v>32</v>
      </c>
      <c r="M44" t="s">
        <v>387</v>
      </c>
      <c r="N44" t="str">
        <f>HYPERLINK("http://dx.doi.org/10.1016/j.ijleo.2022.169860","http://dx.doi.org/10.1016/j.ijleo.2022.169860")</f>
        <v>http://dx.doi.org/10.1016/j.ijleo.2022.169860</v>
      </c>
      <c r="O44" t="s">
        <v>388</v>
      </c>
      <c r="P44" t="str">
        <f>HYPERLINK("https%3A%2F%2Fwww.webofscience.com%2Fwos%2Fwoscc%2Ffull-record%2FWOS:000877429900005","View Full Record in Web of Science")</f>
        <v>View Full Record in Web of Science</v>
      </c>
    </row>
    <row r="45" spans="1:16" x14ac:dyDescent="0.25">
      <c r="A45" t="s">
        <v>389</v>
      </c>
      <c r="B45" t="s">
        <v>390</v>
      </c>
      <c r="C45" t="s">
        <v>391</v>
      </c>
      <c r="D45" t="s">
        <v>40</v>
      </c>
      <c r="E45" t="s">
        <v>392</v>
      </c>
      <c r="F45" t="s">
        <v>393</v>
      </c>
      <c r="G45" t="s">
        <v>43</v>
      </c>
      <c r="H45" t="s">
        <v>44</v>
      </c>
      <c r="I45" t="s">
        <v>170</v>
      </c>
      <c r="J45">
        <v>2022</v>
      </c>
      <c r="K45">
        <v>270</v>
      </c>
      <c r="L45" t="s">
        <v>32</v>
      </c>
      <c r="M45" t="s">
        <v>394</v>
      </c>
      <c r="N45" t="str">
        <f>HYPERLINK("http://dx.doi.org/10.1016/j.ijleo.2022.170046","http://dx.doi.org/10.1016/j.ijleo.2022.170046")</f>
        <v>http://dx.doi.org/10.1016/j.ijleo.2022.170046</v>
      </c>
      <c r="O45" t="s">
        <v>395</v>
      </c>
      <c r="P45" t="str">
        <f>HYPERLINK("https%3A%2F%2Fwww.webofscience.com%2Fwos%2Fwoscc%2Ffull-record%2FWOS:000875639300009","View Full Record in Web of Science")</f>
        <v>View Full Record in Web of Science</v>
      </c>
    </row>
    <row r="46" spans="1:16" x14ac:dyDescent="0.25">
      <c r="A46" t="s">
        <v>396</v>
      </c>
      <c r="B46" t="s">
        <v>397</v>
      </c>
      <c r="C46" t="s">
        <v>398</v>
      </c>
      <c r="D46" t="s">
        <v>399</v>
      </c>
      <c r="E46" t="s">
        <v>400</v>
      </c>
      <c r="F46" t="s">
        <v>401</v>
      </c>
      <c r="G46" t="s">
        <v>402</v>
      </c>
      <c r="H46" t="s">
        <v>403</v>
      </c>
      <c r="I46" t="s">
        <v>120</v>
      </c>
      <c r="J46">
        <v>2022</v>
      </c>
      <c r="K46" t="s">
        <v>404</v>
      </c>
      <c r="L46" t="s">
        <v>32</v>
      </c>
      <c r="M46" t="s">
        <v>405</v>
      </c>
      <c r="N46" t="str">
        <f>HYPERLINK("http://dx.doi.org/10.1016/j.cimid.2022.101896","http://dx.doi.org/10.1016/j.cimid.2022.101896")</f>
        <v>http://dx.doi.org/10.1016/j.cimid.2022.101896</v>
      </c>
      <c r="O46" t="s">
        <v>406</v>
      </c>
      <c r="P46" t="str">
        <f>HYPERLINK("https%3A%2F%2Fwww.webofscience.com%2Fwos%2Fwoscc%2Ffull-record%2FWOS:000875635100003","View Full Record in Web of Science")</f>
        <v>View Full Record in Web of Science</v>
      </c>
    </row>
    <row r="47" spans="1:16" x14ac:dyDescent="0.25">
      <c r="A47" t="s">
        <v>407</v>
      </c>
      <c r="B47" t="s">
        <v>408</v>
      </c>
      <c r="C47" t="s">
        <v>409</v>
      </c>
      <c r="D47" t="s">
        <v>410</v>
      </c>
      <c r="E47" t="s">
        <v>411</v>
      </c>
      <c r="F47" t="s">
        <v>412</v>
      </c>
      <c r="G47" t="s">
        <v>413</v>
      </c>
      <c r="H47" t="s">
        <v>414</v>
      </c>
      <c r="I47" t="s">
        <v>83</v>
      </c>
      <c r="J47">
        <v>2022</v>
      </c>
      <c r="K47">
        <v>54</v>
      </c>
      <c r="L47">
        <v>12</v>
      </c>
      <c r="M47" t="s">
        <v>415</v>
      </c>
      <c r="N47" t="str">
        <f>HYPERLINK("http://dx.doi.org/10.1007/s11082-022-04224-3","http://dx.doi.org/10.1007/s11082-022-04224-3")</f>
        <v>http://dx.doi.org/10.1007/s11082-022-04224-3</v>
      </c>
      <c r="O47" t="s">
        <v>416</v>
      </c>
      <c r="P47" t="str">
        <f>HYPERLINK("https%3A%2F%2Fwww.webofscience.com%2Fwos%2Fwoscc%2Ffull-record%2FWOS:000873594900009","View Full Record in Web of Science")</f>
        <v>View Full Record in Web of Science</v>
      </c>
    </row>
    <row r="48" spans="1:16" x14ac:dyDescent="0.25">
      <c r="A48" t="s">
        <v>417</v>
      </c>
      <c r="B48" t="s">
        <v>418</v>
      </c>
      <c r="C48" t="s">
        <v>419</v>
      </c>
      <c r="D48" t="s">
        <v>410</v>
      </c>
      <c r="E48" t="s">
        <v>420</v>
      </c>
      <c r="F48" t="s">
        <v>32</v>
      </c>
      <c r="G48" t="s">
        <v>413</v>
      </c>
      <c r="H48" t="s">
        <v>414</v>
      </c>
      <c r="I48" t="s">
        <v>83</v>
      </c>
      <c r="J48">
        <v>2022</v>
      </c>
      <c r="K48">
        <v>54</v>
      </c>
      <c r="L48">
        <v>12</v>
      </c>
      <c r="M48" t="s">
        <v>421</v>
      </c>
      <c r="N48" t="str">
        <f>HYPERLINK("http://dx.doi.org/10.1007/s11082-022-04268-5","http://dx.doi.org/10.1007/s11082-022-04268-5")</f>
        <v>http://dx.doi.org/10.1007/s11082-022-04268-5</v>
      </c>
      <c r="O48" t="s">
        <v>422</v>
      </c>
      <c r="P48" t="str">
        <f>HYPERLINK("https%3A%2F%2Fwww.webofscience.com%2Fwos%2Fwoscc%2Ffull-record%2FWOS:000873594900008","View Full Record in Web of Science")</f>
        <v>View Full Record in Web of Science</v>
      </c>
    </row>
    <row r="49" spans="1:16" x14ac:dyDescent="0.25">
      <c r="A49" t="s">
        <v>423</v>
      </c>
      <c r="B49" t="s">
        <v>424</v>
      </c>
      <c r="C49" t="s">
        <v>425</v>
      </c>
      <c r="D49" t="s">
        <v>89</v>
      </c>
      <c r="E49" t="s">
        <v>426</v>
      </c>
      <c r="F49" t="s">
        <v>393</v>
      </c>
      <c r="G49" t="s">
        <v>92</v>
      </c>
      <c r="H49" t="s">
        <v>32</v>
      </c>
      <c r="I49" t="s">
        <v>427</v>
      </c>
      <c r="J49">
        <v>2022</v>
      </c>
      <c r="K49">
        <v>7</v>
      </c>
      <c r="L49">
        <v>5</v>
      </c>
      <c r="M49" t="s">
        <v>428</v>
      </c>
      <c r="N49" t="str">
        <f>HYPERLINK("http://dx.doi.org/10.1016/j.joes.2021.09.012","http://dx.doi.org/10.1016/j.joes.2021.09.012")</f>
        <v>http://dx.doi.org/10.1016/j.joes.2021.09.012</v>
      </c>
      <c r="O49" t="s">
        <v>429</v>
      </c>
      <c r="P49" t="str">
        <f>HYPERLINK("https%3A%2F%2Fwww.webofscience.com%2Fwos%2Fwoscc%2Ffull-record%2FWOS:000875750200006","View Full Record in Web of Science")</f>
        <v>View Full Record in Web of Science</v>
      </c>
    </row>
    <row r="50" spans="1:16" x14ac:dyDescent="0.25">
      <c r="A50" t="s">
        <v>430</v>
      </c>
      <c r="B50" t="s">
        <v>431</v>
      </c>
      <c r="C50" t="s">
        <v>432</v>
      </c>
      <c r="D50" t="s">
        <v>89</v>
      </c>
      <c r="E50" t="s">
        <v>433</v>
      </c>
      <c r="F50" t="s">
        <v>434</v>
      </c>
      <c r="G50" t="s">
        <v>92</v>
      </c>
      <c r="H50" t="s">
        <v>32</v>
      </c>
      <c r="I50" t="s">
        <v>427</v>
      </c>
      <c r="J50">
        <v>2022</v>
      </c>
      <c r="K50">
        <v>7</v>
      </c>
      <c r="L50">
        <v>5</v>
      </c>
      <c r="M50" t="s">
        <v>435</v>
      </c>
      <c r="N50" t="str">
        <f>HYPERLINK("http://dx.doi.org/10.1016/j.joes.2021.09.020","http://dx.doi.org/10.1016/j.joes.2021.09.020")</f>
        <v>http://dx.doi.org/10.1016/j.joes.2021.09.020</v>
      </c>
      <c r="O50" t="s">
        <v>436</v>
      </c>
      <c r="P50" t="str">
        <f>HYPERLINK("https%3A%2F%2Fwww.webofscience.com%2Fwos%2Fwoscc%2Ffull-record%2FWOS:000875750200008","View Full Record in Web of Science")</f>
        <v>View Full Record in Web of Science</v>
      </c>
    </row>
    <row r="51" spans="1:16" x14ac:dyDescent="0.25">
      <c r="A51" t="s">
        <v>437</v>
      </c>
      <c r="B51" t="s">
        <v>438</v>
      </c>
      <c r="C51" t="s">
        <v>439</v>
      </c>
      <c r="D51" t="s">
        <v>440</v>
      </c>
      <c r="E51" t="s">
        <v>32</v>
      </c>
      <c r="F51" t="s">
        <v>441</v>
      </c>
      <c r="G51" t="s">
        <v>442</v>
      </c>
      <c r="H51" t="s">
        <v>443</v>
      </c>
      <c r="I51" t="s">
        <v>427</v>
      </c>
      <c r="J51">
        <v>2022</v>
      </c>
      <c r="K51">
        <v>288</v>
      </c>
      <c r="L51" t="s">
        <v>32</v>
      </c>
      <c r="M51" t="s">
        <v>444</v>
      </c>
      <c r="N51" t="str">
        <f>HYPERLINK("http://dx.doi.org/10.1016/j.ic.2022.104878","http://dx.doi.org/10.1016/j.ic.2022.104878")</f>
        <v>http://dx.doi.org/10.1016/j.ic.2022.104878</v>
      </c>
      <c r="O51" t="s">
        <v>445</v>
      </c>
      <c r="P51" t="str">
        <f>HYPERLINK("https%3A%2F%2Fwww.webofscience.com%2Fwos%2Fwoscc%2Ffull-record%2FWOS:000873951700010","View Full Record in Web of Science")</f>
        <v>View Full Record in Web of Science</v>
      </c>
    </row>
    <row r="52" spans="1:16" x14ac:dyDescent="0.25">
      <c r="A52" t="s">
        <v>446</v>
      </c>
      <c r="B52" t="s">
        <v>447</v>
      </c>
      <c r="C52" t="s">
        <v>448</v>
      </c>
      <c r="D52" t="s">
        <v>89</v>
      </c>
      <c r="E52" t="s">
        <v>420</v>
      </c>
      <c r="F52" t="s">
        <v>32</v>
      </c>
      <c r="G52" t="s">
        <v>92</v>
      </c>
      <c r="H52" t="s">
        <v>32</v>
      </c>
      <c r="I52" t="s">
        <v>449</v>
      </c>
      <c r="J52">
        <v>2022</v>
      </c>
      <c r="K52">
        <v>7</v>
      </c>
      <c r="L52">
        <v>4</v>
      </c>
      <c r="M52" t="s">
        <v>450</v>
      </c>
      <c r="N52" t="str">
        <f>HYPERLINK("http://dx.doi.org/10.1016/j.joes.2021.09.006","http://dx.doi.org/10.1016/j.joes.2021.09.006")</f>
        <v>http://dx.doi.org/10.1016/j.joes.2021.09.006</v>
      </c>
      <c r="O52" t="s">
        <v>451</v>
      </c>
      <c r="P52" t="str">
        <f>HYPERLINK("https%3A%2F%2Fwww.webofscience.com%2Fwos%2Fwoscc%2Ffull-record%2FWOS:000864443500008","View Full Record in Web of Science")</f>
        <v>View Full Record in Web of Science</v>
      </c>
    </row>
    <row r="53" spans="1:16" x14ac:dyDescent="0.25">
      <c r="A53" t="s">
        <v>452</v>
      </c>
      <c r="B53" t="s">
        <v>453</v>
      </c>
      <c r="C53" t="s">
        <v>454</v>
      </c>
      <c r="D53" t="s">
        <v>455</v>
      </c>
      <c r="E53" t="s">
        <v>456</v>
      </c>
      <c r="F53" t="s">
        <v>457</v>
      </c>
      <c r="G53" t="s">
        <v>458</v>
      </c>
      <c r="H53" t="s">
        <v>32</v>
      </c>
      <c r="I53" t="s">
        <v>459</v>
      </c>
      <c r="J53">
        <v>2022</v>
      </c>
      <c r="K53">
        <v>137</v>
      </c>
      <c r="L53">
        <v>10</v>
      </c>
      <c r="M53" t="s">
        <v>460</v>
      </c>
      <c r="N53" t="str">
        <f>HYPERLINK("http://dx.doi.org/10.1140/epjp/s13360-022-03401-3","http://dx.doi.org/10.1140/epjp/s13360-022-03401-3")</f>
        <v>http://dx.doi.org/10.1140/epjp/s13360-022-03401-3</v>
      </c>
      <c r="O53" t="s">
        <v>461</v>
      </c>
      <c r="P53" t="str">
        <f>HYPERLINK("https%3A%2F%2Fwww.webofscience.com%2Fwos%2Fwoscc%2Ffull-record%2FWOS:000871077000002","View Full Record in Web of Science")</f>
        <v>View Full Record in Web of Science</v>
      </c>
    </row>
    <row r="54" spans="1:16" x14ac:dyDescent="0.25">
      <c r="A54" t="s">
        <v>462</v>
      </c>
      <c r="B54" t="s">
        <v>463</v>
      </c>
      <c r="C54" t="s">
        <v>464</v>
      </c>
      <c r="D54" t="s">
        <v>465</v>
      </c>
      <c r="E54" t="s">
        <v>466</v>
      </c>
      <c r="F54" t="s">
        <v>467</v>
      </c>
      <c r="G54" t="s">
        <v>468</v>
      </c>
      <c r="H54" t="s">
        <v>469</v>
      </c>
      <c r="I54" t="s">
        <v>470</v>
      </c>
      <c r="J54">
        <v>2022</v>
      </c>
      <c r="K54">
        <v>97</v>
      </c>
      <c r="L54">
        <v>11</v>
      </c>
      <c r="M54" t="s">
        <v>471</v>
      </c>
      <c r="N54" t="str">
        <f>HYPERLINK("http://dx.doi.org/10.1088/1402-4896/ac98e4","http://dx.doi.org/10.1088/1402-4896/ac98e4")</f>
        <v>http://dx.doi.org/10.1088/1402-4896/ac98e4</v>
      </c>
      <c r="O54" t="s">
        <v>472</v>
      </c>
      <c r="P54" t="str">
        <f>HYPERLINK("https%3A%2F%2Fwww.webofscience.com%2Fwos%2Fwoscc%2Ffull-record%2FWOS:000869972500001","View Full Record in Web of Science")</f>
        <v>View Full Record in Web of Science</v>
      </c>
    </row>
    <row r="55" spans="1:16" x14ac:dyDescent="0.25">
      <c r="A55" t="s">
        <v>473</v>
      </c>
      <c r="B55" t="s">
        <v>474</v>
      </c>
      <c r="C55" t="s">
        <v>475</v>
      </c>
      <c r="D55" t="s">
        <v>476</v>
      </c>
      <c r="E55" t="s">
        <v>477</v>
      </c>
      <c r="F55" t="s">
        <v>478</v>
      </c>
      <c r="G55" t="s">
        <v>479</v>
      </c>
      <c r="H55" t="s">
        <v>480</v>
      </c>
      <c r="I55" t="s">
        <v>449</v>
      </c>
      <c r="J55">
        <v>2022</v>
      </c>
      <c r="K55">
        <v>39</v>
      </c>
      <c r="L55">
        <v>4</v>
      </c>
      <c r="M55" t="s">
        <v>481</v>
      </c>
      <c r="N55" t="str">
        <f>HYPERLINK("http://dx.doi.org/10.18280/ts.390411","http://dx.doi.org/10.18280/ts.390411")</f>
        <v>http://dx.doi.org/10.18280/ts.390411</v>
      </c>
      <c r="O55" t="s">
        <v>482</v>
      </c>
      <c r="P55" t="str">
        <f>HYPERLINK("https%3A%2F%2Fwww.webofscience.com%2Fwos%2Fwoscc%2Ffull-record%2FWOS:000867397500011","View Full Record in Web of Science")</f>
        <v>View Full Record in Web of Science</v>
      </c>
    </row>
    <row r="56" spans="1:16" x14ac:dyDescent="0.25">
      <c r="A56" t="s">
        <v>483</v>
      </c>
      <c r="B56" t="s">
        <v>484</v>
      </c>
      <c r="C56" t="s">
        <v>485</v>
      </c>
      <c r="D56" t="s">
        <v>40</v>
      </c>
      <c r="E56" t="s">
        <v>486</v>
      </c>
      <c r="F56" t="s">
        <v>487</v>
      </c>
      <c r="G56" t="s">
        <v>43</v>
      </c>
      <c r="H56" t="s">
        <v>44</v>
      </c>
      <c r="I56" t="s">
        <v>427</v>
      </c>
      <c r="J56">
        <v>2022</v>
      </c>
      <c r="K56">
        <v>267</v>
      </c>
      <c r="L56" t="s">
        <v>32</v>
      </c>
      <c r="M56" t="s">
        <v>488</v>
      </c>
      <c r="N56" t="str">
        <f>HYPERLINK("http://dx.doi.org/10.1016/j.ijleo.2022.169715","http://dx.doi.org/10.1016/j.ijleo.2022.169715")</f>
        <v>http://dx.doi.org/10.1016/j.ijleo.2022.169715</v>
      </c>
      <c r="O56" t="s">
        <v>489</v>
      </c>
      <c r="P56" t="str">
        <f>HYPERLINK("https%3A%2F%2Fwww.webofscience.com%2Fwos%2Fwoscc%2Ffull-record%2FWOS:000862986900008","View Full Record in Web of Science")</f>
        <v>View Full Record in Web of Science</v>
      </c>
    </row>
    <row r="57" spans="1:16" x14ac:dyDescent="0.25">
      <c r="A57" t="s">
        <v>490</v>
      </c>
      <c r="B57" t="s">
        <v>491</v>
      </c>
      <c r="C57" t="s">
        <v>492</v>
      </c>
      <c r="D57" t="s">
        <v>40</v>
      </c>
      <c r="E57" t="s">
        <v>493</v>
      </c>
      <c r="F57" t="s">
        <v>494</v>
      </c>
      <c r="G57" t="s">
        <v>43</v>
      </c>
      <c r="H57" t="s">
        <v>44</v>
      </c>
      <c r="I57" t="s">
        <v>427</v>
      </c>
      <c r="J57">
        <v>2022</v>
      </c>
      <c r="K57">
        <v>267</v>
      </c>
      <c r="L57" t="s">
        <v>32</v>
      </c>
      <c r="M57" t="s">
        <v>495</v>
      </c>
      <c r="N57" t="str">
        <f>HYPERLINK("http://dx.doi.org/10.1016/j.ijleo.2022.169650","http://dx.doi.org/10.1016/j.ijleo.2022.169650")</f>
        <v>http://dx.doi.org/10.1016/j.ijleo.2022.169650</v>
      </c>
      <c r="O57" t="s">
        <v>496</v>
      </c>
      <c r="P57" t="str">
        <f>HYPERLINK("https%3A%2F%2Fwww.webofscience.com%2Fwos%2Fwoscc%2Ffull-record%2FWOS:000864740300006","View Full Record in Web of Science")</f>
        <v>View Full Record in Web of Science</v>
      </c>
    </row>
    <row r="58" spans="1:16" x14ac:dyDescent="0.25">
      <c r="A58" t="s">
        <v>497</v>
      </c>
      <c r="B58" t="s">
        <v>498</v>
      </c>
      <c r="C58" t="s">
        <v>499</v>
      </c>
      <c r="D58" t="s">
        <v>500</v>
      </c>
      <c r="E58" t="s">
        <v>501</v>
      </c>
      <c r="F58" t="s">
        <v>502</v>
      </c>
      <c r="G58" t="s">
        <v>32</v>
      </c>
      <c r="H58" t="s">
        <v>503</v>
      </c>
      <c r="I58" t="s">
        <v>504</v>
      </c>
      <c r="J58">
        <v>2022</v>
      </c>
      <c r="K58">
        <v>2022</v>
      </c>
      <c r="L58">
        <v>1</v>
      </c>
      <c r="M58" t="s">
        <v>505</v>
      </c>
      <c r="N58" t="str">
        <f>HYPERLINK("http://dx.doi.org/10.1186/s13662-022-03684-x","http://dx.doi.org/10.1186/s13662-022-03684-x")</f>
        <v>http://dx.doi.org/10.1186/s13662-022-03684-x</v>
      </c>
      <c r="O58" t="s">
        <v>506</v>
      </c>
      <c r="P58" t="str">
        <f>HYPERLINK("https%3A%2F%2Fwww.webofscience.com%2Fwos%2Fwoscc%2Ffull-record%2FWOS:000867404800001","View Full Record in Web of Science")</f>
        <v>View Full Record in Web of Science</v>
      </c>
    </row>
    <row r="59" spans="1:16" x14ac:dyDescent="0.25">
      <c r="A59" t="s">
        <v>507</v>
      </c>
      <c r="B59" t="s">
        <v>508</v>
      </c>
      <c r="C59" t="s">
        <v>509</v>
      </c>
      <c r="D59" t="s">
        <v>500</v>
      </c>
      <c r="E59" t="s">
        <v>510</v>
      </c>
      <c r="F59" t="s">
        <v>511</v>
      </c>
      <c r="G59" t="s">
        <v>32</v>
      </c>
      <c r="H59" t="s">
        <v>503</v>
      </c>
      <c r="I59" t="s">
        <v>512</v>
      </c>
      <c r="J59">
        <v>2022</v>
      </c>
      <c r="K59">
        <v>2022</v>
      </c>
      <c r="L59">
        <v>1</v>
      </c>
      <c r="M59" t="s">
        <v>513</v>
      </c>
      <c r="N59" t="str">
        <f>HYPERLINK("http://dx.doi.org/10.1186/s13662-022-03680-1","http://dx.doi.org/10.1186/s13662-022-03680-1")</f>
        <v>http://dx.doi.org/10.1186/s13662-022-03680-1</v>
      </c>
      <c r="O59" t="s">
        <v>514</v>
      </c>
      <c r="P59" t="str">
        <f>HYPERLINK("https%3A%2F%2Fwww.webofscience.com%2Fwos%2Fwoscc%2Ffull-record%2FWOS:000867397600001","View Full Record in Web of Science")</f>
        <v>View Full Record in Web of Science</v>
      </c>
    </row>
    <row r="60" spans="1:16" x14ac:dyDescent="0.25">
      <c r="A60" t="s">
        <v>515</v>
      </c>
      <c r="B60" t="s">
        <v>516</v>
      </c>
      <c r="C60" t="s">
        <v>517</v>
      </c>
      <c r="D60" t="s">
        <v>410</v>
      </c>
      <c r="E60" t="s">
        <v>518</v>
      </c>
      <c r="F60" t="s">
        <v>519</v>
      </c>
      <c r="G60" t="s">
        <v>413</v>
      </c>
      <c r="H60" t="s">
        <v>414</v>
      </c>
      <c r="I60" t="s">
        <v>83</v>
      </c>
      <c r="J60">
        <v>2022</v>
      </c>
      <c r="K60">
        <v>54</v>
      </c>
      <c r="L60">
        <v>12</v>
      </c>
      <c r="M60" t="s">
        <v>520</v>
      </c>
      <c r="N60" t="str">
        <f>HYPERLINK("http://dx.doi.org/10.1007/s11082-022-04216-3","http://dx.doi.org/10.1007/s11082-022-04216-3")</f>
        <v>http://dx.doi.org/10.1007/s11082-022-04216-3</v>
      </c>
      <c r="O60" t="s">
        <v>521</v>
      </c>
      <c r="P60" t="str">
        <f>HYPERLINK("https%3A%2F%2Fwww.webofscience.com%2Fwos%2Fwoscc%2Ffull-record%2FWOS:000862410700012","View Full Record in Web of Science")</f>
        <v>View Full Record in Web of Science</v>
      </c>
    </row>
    <row r="61" spans="1:16" x14ac:dyDescent="0.25">
      <c r="A61" t="s">
        <v>522</v>
      </c>
      <c r="B61" t="s">
        <v>523</v>
      </c>
      <c r="C61" t="s">
        <v>524</v>
      </c>
      <c r="D61" t="s">
        <v>410</v>
      </c>
      <c r="E61" t="s">
        <v>525</v>
      </c>
      <c r="F61" t="s">
        <v>526</v>
      </c>
      <c r="G61" t="s">
        <v>413</v>
      </c>
      <c r="H61" t="s">
        <v>414</v>
      </c>
      <c r="I61" t="s">
        <v>83</v>
      </c>
      <c r="J61">
        <v>2022</v>
      </c>
      <c r="K61">
        <v>54</v>
      </c>
      <c r="L61">
        <v>12</v>
      </c>
      <c r="M61" t="s">
        <v>527</v>
      </c>
      <c r="N61" t="str">
        <f>HYPERLINK("http://dx.doi.org/10.1007/s11082-022-04186-6","http://dx.doi.org/10.1007/s11082-022-04186-6")</f>
        <v>http://dx.doi.org/10.1007/s11082-022-04186-6</v>
      </c>
      <c r="O61" t="s">
        <v>528</v>
      </c>
      <c r="P61" t="str">
        <f>HYPERLINK("https%3A%2F%2Fwww.webofscience.com%2Fwos%2Fwoscc%2Ffull-record%2FWOS:000862410700009","View Full Record in Web of Science")</f>
        <v>View Full Record in Web of Science</v>
      </c>
    </row>
    <row r="62" spans="1:16" x14ac:dyDescent="0.25">
      <c r="A62" t="s">
        <v>529</v>
      </c>
      <c r="B62" t="s">
        <v>530</v>
      </c>
      <c r="C62" t="s">
        <v>531</v>
      </c>
      <c r="D62" t="s">
        <v>455</v>
      </c>
      <c r="E62" t="s">
        <v>532</v>
      </c>
      <c r="F62" t="s">
        <v>533</v>
      </c>
      <c r="G62" t="s">
        <v>458</v>
      </c>
      <c r="H62" t="s">
        <v>32</v>
      </c>
      <c r="I62" t="s">
        <v>196</v>
      </c>
      <c r="J62">
        <v>2022</v>
      </c>
      <c r="K62">
        <v>137</v>
      </c>
      <c r="L62">
        <v>10</v>
      </c>
      <c r="M62" t="s">
        <v>534</v>
      </c>
      <c r="N62" t="str">
        <f>HYPERLINK("http://dx.doi.org/10.1140/epjp/s13360-022-03342-x","http://dx.doi.org/10.1140/epjp/s13360-022-03342-x")</f>
        <v>http://dx.doi.org/10.1140/epjp/s13360-022-03342-x</v>
      </c>
      <c r="O62" t="s">
        <v>535</v>
      </c>
      <c r="P62" t="str">
        <f>HYPERLINK("https%3A%2F%2Fwww.webofscience.com%2Fwos%2Fwoscc%2Ffull-record%2FWOS:000865765100003","View Full Record in Web of Science")</f>
        <v>View Full Record in Web of Science</v>
      </c>
    </row>
    <row r="63" spans="1:16" x14ac:dyDescent="0.25">
      <c r="A63" t="s">
        <v>536</v>
      </c>
      <c r="B63" t="s">
        <v>537</v>
      </c>
      <c r="C63" t="s">
        <v>538</v>
      </c>
      <c r="D63" t="s">
        <v>40</v>
      </c>
      <c r="E63" t="s">
        <v>539</v>
      </c>
      <c r="F63" t="s">
        <v>540</v>
      </c>
      <c r="G63" t="s">
        <v>43</v>
      </c>
      <c r="H63" t="s">
        <v>44</v>
      </c>
      <c r="I63" t="s">
        <v>427</v>
      </c>
      <c r="J63">
        <v>2022</v>
      </c>
      <c r="K63">
        <v>268</v>
      </c>
      <c r="L63" t="s">
        <v>32</v>
      </c>
      <c r="M63" t="s">
        <v>541</v>
      </c>
      <c r="N63" t="str">
        <f>HYPERLINK("http://dx.doi.org/10.1016/j.ijleo.2022.169803","http://dx.doi.org/10.1016/j.ijleo.2022.169803")</f>
        <v>http://dx.doi.org/10.1016/j.ijleo.2022.169803</v>
      </c>
      <c r="O63" t="s">
        <v>542</v>
      </c>
      <c r="P63" t="str">
        <f>HYPERLINK("https%3A%2F%2Fwww.webofscience.com%2Fwos%2Fwoscc%2Ffull-record%2FWOS:000864711100004","View Full Record in Web of Science")</f>
        <v>View Full Record in Web of Science</v>
      </c>
    </row>
    <row r="64" spans="1:16" x14ac:dyDescent="0.25">
      <c r="A64" t="s">
        <v>490</v>
      </c>
      <c r="B64" t="s">
        <v>491</v>
      </c>
      <c r="C64" t="s">
        <v>543</v>
      </c>
      <c r="D64" t="s">
        <v>40</v>
      </c>
      <c r="E64" t="s">
        <v>544</v>
      </c>
      <c r="F64" t="s">
        <v>545</v>
      </c>
      <c r="G64" t="s">
        <v>43</v>
      </c>
      <c r="H64" t="s">
        <v>44</v>
      </c>
      <c r="I64" t="s">
        <v>427</v>
      </c>
      <c r="J64">
        <v>2022</v>
      </c>
      <c r="K64">
        <v>268</v>
      </c>
      <c r="L64" t="s">
        <v>32</v>
      </c>
      <c r="M64" t="s">
        <v>546</v>
      </c>
      <c r="N64" t="str">
        <f>HYPERLINK("http://dx.doi.org/10.1016/j.ijleo.2022.169800","http://dx.doi.org/10.1016/j.ijleo.2022.169800")</f>
        <v>http://dx.doi.org/10.1016/j.ijleo.2022.169800</v>
      </c>
      <c r="O64" t="s">
        <v>547</v>
      </c>
      <c r="P64" t="str">
        <f>HYPERLINK("https%3A%2F%2Fwww.webofscience.com%2Fwos%2Fwoscc%2Ffull-record%2FWOS:000863321300012","View Full Record in Web of Science")</f>
        <v>View Full Record in Web of Science</v>
      </c>
    </row>
    <row r="65" spans="1:16" x14ac:dyDescent="0.25">
      <c r="A65" t="s">
        <v>548</v>
      </c>
      <c r="B65" t="s">
        <v>549</v>
      </c>
      <c r="C65" t="s">
        <v>550</v>
      </c>
      <c r="D65" t="s">
        <v>40</v>
      </c>
      <c r="E65" t="s">
        <v>551</v>
      </c>
      <c r="F65" t="s">
        <v>552</v>
      </c>
      <c r="G65" t="s">
        <v>43</v>
      </c>
      <c r="H65" t="s">
        <v>44</v>
      </c>
      <c r="I65" t="s">
        <v>427</v>
      </c>
      <c r="J65">
        <v>2022</v>
      </c>
      <c r="K65">
        <v>268</v>
      </c>
      <c r="L65" t="s">
        <v>32</v>
      </c>
      <c r="M65" t="s">
        <v>553</v>
      </c>
      <c r="N65" t="str">
        <f>HYPERLINK("http://dx.doi.org/10.1016/j.ijleo.2022.169831","http://dx.doi.org/10.1016/j.ijleo.2022.169831")</f>
        <v>http://dx.doi.org/10.1016/j.ijleo.2022.169831</v>
      </c>
      <c r="O65" t="s">
        <v>554</v>
      </c>
      <c r="P65" t="str">
        <f>HYPERLINK("https%3A%2F%2Fwww.webofscience.com%2Fwos%2Fwoscc%2Ffull-record%2FWOS:000863321300006","View Full Record in Web of Science")</f>
        <v>View Full Record in Web of Science</v>
      </c>
    </row>
    <row r="66" spans="1:16" x14ac:dyDescent="0.25">
      <c r="A66" t="s">
        <v>555</v>
      </c>
      <c r="B66" t="s">
        <v>556</v>
      </c>
      <c r="C66" t="s">
        <v>557</v>
      </c>
      <c r="D66" t="s">
        <v>558</v>
      </c>
      <c r="E66" t="s">
        <v>32</v>
      </c>
      <c r="F66" t="s">
        <v>559</v>
      </c>
      <c r="G66" t="s">
        <v>560</v>
      </c>
      <c r="H66" t="s">
        <v>561</v>
      </c>
      <c r="I66" t="s">
        <v>32</v>
      </c>
      <c r="J66">
        <v>2022</v>
      </c>
      <c r="K66">
        <v>19</v>
      </c>
      <c r="L66">
        <v>12</v>
      </c>
      <c r="M66" t="s">
        <v>562</v>
      </c>
      <c r="N66" t="str">
        <f>HYPERLINK("http://dx.doi.org/10.3934/mbe.2022613","http://dx.doi.org/10.3934/mbe.2022613")</f>
        <v>http://dx.doi.org/10.3934/mbe.2022613</v>
      </c>
      <c r="O66" t="s">
        <v>563</v>
      </c>
      <c r="P66" t="str">
        <f>HYPERLINK("https%3A%2F%2Fwww.webofscience.com%2Fwos%2Fwoscc%2Ffull-record%2FWOS:000862411600029","View Full Record in Web of Science")</f>
        <v>View Full Record in Web of Science</v>
      </c>
    </row>
    <row r="67" spans="1:16" x14ac:dyDescent="0.25">
      <c r="A67" t="s">
        <v>564</v>
      </c>
      <c r="B67" t="s">
        <v>565</v>
      </c>
      <c r="C67" t="s">
        <v>566</v>
      </c>
      <c r="D67" t="s">
        <v>567</v>
      </c>
      <c r="E67" t="s">
        <v>568</v>
      </c>
      <c r="F67" t="s">
        <v>569</v>
      </c>
      <c r="G67" t="s">
        <v>570</v>
      </c>
      <c r="H67" t="s">
        <v>571</v>
      </c>
      <c r="I67" t="s">
        <v>170</v>
      </c>
      <c r="J67">
        <v>2022</v>
      </c>
      <c r="K67">
        <v>164</v>
      </c>
      <c r="L67" t="s">
        <v>32</v>
      </c>
      <c r="M67" t="s">
        <v>572</v>
      </c>
      <c r="N67" t="str">
        <f>HYPERLINK("http://dx.doi.org/10.1016/j.chaos.2022.112622","http://dx.doi.org/10.1016/j.chaos.2022.112622")</f>
        <v>http://dx.doi.org/10.1016/j.chaos.2022.112622</v>
      </c>
      <c r="O67" t="s">
        <v>573</v>
      </c>
      <c r="P67" t="str">
        <f>HYPERLINK("https%3A%2F%2Fwww.webofscience.com%2Fwos%2Fwoscc%2Ffull-record%2FWOS:000860654500014","View Full Record in Web of Science")</f>
        <v>View Full Record in Web of Science</v>
      </c>
    </row>
    <row r="68" spans="1:16" x14ac:dyDescent="0.25">
      <c r="A68" t="s">
        <v>574</v>
      </c>
      <c r="B68" t="s">
        <v>575</v>
      </c>
      <c r="C68" t="s">
        <v>576</v>
      </c>
      <c r="D68" t="s">
        <v>577</v>
      </c>
      <c r="E68" t="s">
        <v>578</v>
      </c>
      <c r="F68" t="s">
        <v>579</v>
      </c>
      <c r="G68" t="s">
        <v>580</v>
      </c>
      <c r="H68" t="s">
        <v>581</v>
      </c>
      <c r="I68" t="s">
        <v>83</v>
      </c>
      <c r="J68">
        <v>2022</v>
      </c>
      <c r="K68">
        <v>30</v>
      </c>
      <c r="L68">
        <v>8</v>
      </c>
      <c r="M68" t="s">
        <v>582</v>
      </c>
      <c r="N68" t="str">
        <f>HYPERLINK("http://dx.doi.org/10.1142/S0218348X22402204","http://dx.doi.org/10.1142/S0218348X22402204")</f>
        <v>http://dx.doi.org/10.1142/S0218348X22402204</v>
      </c>
      <c r="O68" t="s">
        <v>583</v>
      </c>
      <c r="P68" t="str">
        <f>HYPERLINK("https%3A%2F%2Fwww.webofscience.com%2Fwos%2Fwoscc%2Ffull-record%2FWOS:000860236100001","View Full Record in Web of Science")</f>
        <v>View Full Record in Web of Science</v>
      </c>
    </row>
    <row r="69" spans="1:16" x14ac:dyDescent="0.25">
      <c r="A69" t="s">
        <v>584</v>
      </c>
      <c r="B69" t="s">
        <v>585</v>
      </c>
      <c r="C69" t="s">
        <v>586</v>
      </c>
      <c r="D69" t="s">
        <v>410</v>
      </c>
      <c r="E69" t="s">
        <v>587</v>
      </c>
      <c r="F69" t="s">
        <v>588</v>
      </c>
      <c r="G69" t="s">
        <v>413</v>
      </c>
      <c r="H69" t="s">
        <v>414</v>
      </c>
      <c r="I69" t="s">
        <v>83</v>
      </c>
      <c r="J69">
        <v>2022</v>
      </c>
      <c r="K69">
        <v>54</v>
      </c>
      <c r="L69">
        <v>12</v>
      </c>
      <c r="M69" t="s">
        <v>589</v>
      </c>
      <c r="N69" t="str">
        <f>HYPERLINK("http://dx.doi.org/10.1007/s11082-022-04204-7","http://dx.doi.org/10.1007/s11082-022-04204-7")</f>
        <v>http://dx.doi.org/10.1007/s11082-022-04204-7</v>
      </c>
      <c r="O69" t="s">
        <v>590</v>
      </c>
      <c r="P69" t="str">
        <f>HYPERLINK("https%3A%2F%2Fwww.webofscience.com%2Fwos%2Fwoscc%2Ffull-record%2FWOS:000861946600003","View Full Record in Web of Science")</f>
        <v>View Full Record in Web of Science</v>
      </c>
    </row>
    <row r="70" spans="1:16" x14ac:dyDescent="0.25">
      <c r="A70" t="s">
        <v>591</v>
      </c>
      <c r="B70" t="s">
        <v>592</v>
      </c>
      <c r="C70" t="s">
        <v>593</v>
      </c>
      <c r="D70" t="s">
        <v>410</v>
      </c>
      <c r="E70" t="s">
        <v>594</v>
      </c>
      <c r="F70" t="s">
        <v>595</v>
      </c>
      <c r="G70" t="s">
        <v>413</v>
      </c>
      <c r="H70" t="s">
        <v>414</v>
      </c>
      <c r="I70" t="s">
        <v>83</v>
      </c>
      <c r="J70">
        <v>2022</v>
      </c>
      <c r="K70">
        <v>54</v>
      </c>
      <c r="L70">
        <v>12</v>
      </c>
      <c r="M70" t="s">
        <v>596</v>
      </c>
      <c r="N70" t="str">
        <f>HYPERLINK("http://dx.doi.org/10.1007/s11082-022-04119-3","http://dx.doi.org/10.1007/s11082-022-04119-3")</f>
        <v>http://dx.doi.org/10.1007/s11082-022-04119-3</v>
      </c>
      <c r="O70" t="s">
        <v>597</v>
      </c>
      <c r="P70" t="str">
        <f>HYPERLINK("https%3A%2F%2Fwww.webofscience.com%2Fwos%2Fwoscc%2Ffull-record%2FWOS:000861946600002","View Full Record in Web of Science")</f>
        <v>View Full Record in Web of Science</v>
      </c>
    </row>
    <row r="71" spans="1:16" x14ac:dyDescent="0.25">
      <c r="A71" t="s">
        <v>598</v>
      </c>
      <c r="B71" t="s">
        <v>599</v>
      </c>
      <c r="C71" t="s">
        <v>600</v>
      </c>
      <c r="D71" t="s">
        <v>40</v>
      </c>
      <c r="E71" t="s">
        <v>601</v>
      </c>
      <c r="F71" t="s">
        <v>602</v>
      </c>
      <c r="G71" t="s">
        <v>43</v>
      </c>
      <c r="H71" t="s">
        <v>44</v>
      </c>
      <c r="I71" t="s">
        <v>170</v>
      </c>
      <c r="J71">
        <v>2022</v>
      </c>
      <c r="K71">
        <v>270</v>
      </c>
      <c r="L71" t="s">
        <v>32</v>
      </c>
      <c r="M71" t="s">
        <v>603</v>
      </c>
      <c r="N71" t="str">
        <f>HYPERLINK("http://dx.doi.org/10.1016/j.ijleo.2022.169927","http://dx.doi.org/10.1016/j.ijleo.2022.169927")</f>
        <v>http://dx.doi.org/10.1016/j.ijleo.2022.169927</v>
      </c>
      <c r="O71" t="s">
        <v>604</v>
      </c>
      <c r="P71" t="str">
        <f>HYPERLINK("https%3A%2F%2Fwww.webofscience.com%2Fwos%2Fwoscc%2Ffull-record%2FWOS:000860935900004","View Full Record in Web of Science")</f>
        <v>View Full Record in Web of Science</v>
      </c>
    </row>
    <row r="72" spans="1:16" x14ac:dyDescent="0.25">
      <c r="A72" t="s">
        <v>605</v>
      </c>
      <c r="B72" t="s">
        <v>606</v>
      </c>
      <c r="C72" t="s">
        <v>607</v>
      </c>
      <c r="D72" t="s">
        <v>410</v>
      </c>
      <c r="E72" t="s">
        <v>420</v>
      </c>
      <c r="F72" t="s">
        <v>32</v>
      </c>
      <c r="G72" t="s">
        <v>413</v>
      </c>
      <c r="H72" t="s">
        <v>414</v>
      </c>
      <c r="I72" t="s">
        <v>170</v>
      </c>
      <c r="J72">
        <v>2022</v>
      </c>
      <c r="K72">
        <v>54</v>
      </c>
      <c r="L72">
        <v>11</v>
      </c>
      <c r="M72" t="s">
        <v>608</v>
      </c>
      <c r="N72" t="str">
        <f>HYPERLINK("http://dx.doi.org/10.1007/s11082-022-04209-2","http://dx.doi.org/10.1007/s11082-022-04209-2")</f>
        <v>http://dx.doi.org/10.1007/s11082-022-04209-2</v>
      </c>
      <c r="O72" t="s">
        <v>609</v>
      </c>
      <c r="P72" t="str">
        <f>HYPERLINK("https%3A%2F%2Fwww.webofscience.com%2Fwos%2Fwoscc%2Ffull-record%2FWOS:000860753200001","View Full Record in Web of Science")</f>
        <v>View Full Record in Web of Science</v>
      </c>
    </row>
    <row r="73" spans="1:16" x14ac:dyDescent="0.25">
      <c r="A73" t="s">
        <v>462</v>
      </c>
      <c r="B73" t="s">
        <v>463</v>
      </c>
      <c r="C73" t="s">
        <v>610</v>
      </c>
      <c r="D73" t="s">
        <v>611</v>
      </c>
      <c r="E73" t="s">
        <v>612</v>
      </c>
      <c r="F73" t="s">
        <v>379</v>
      </c>
      <c r="G73" t="s">
        <v>613</v>
      </c>
      <c r="H73" t="s">
        <v>614</v>
      </c>
      <c r="I73" t="s">
        <v>615</v>
      </c>
      <c r="J73">
        <v>2022</v>
      </c>
      <c r="K73">
        <v>132</v>
      </c>
      <c r="L73">
        <v>5</v>
      </c>
      <c r="M73" t="s">
        <v>616</v>
      </c>
      <c r="N73" t="str">
        <f>HYPERLINK("http://dx.doi.org/10.1063/5.0100433","http://dx.doi.org/10.1063/5.0100433")</f>
        <v>http://dx.doi.org/10.1063/5.0100433</v>
      </c>
      <c r="O73" t="s">
        <v>617</v>
      </c>
      <c r="P73" t="str">
        <f>HYPERLINK("https%3A%2F%2Fwww.webofscience.com%2Fwos%2Fwoscc%2Ffull-record%2FWOS:000860443900007","View Full Record in Web of Science")</f>
        <v>View Full Record in Web of Science</v>
      </c>
    </row>
    <row r="74" spans="1:16" x14ac:dyDescent="0.25">
      <c r="A74" t="s">
        <v>605</v>
      </c>
      <c r="B74" t="s">
        <v>618</v>
      </c>
      <c r="C74" t="s">
        <v>619</v>
      </c>
      <c r="D74" t="s">
        <v>410</v>
      </c>
      <c r="E74" t="s">
        <v>420</v>
      </c>
      <c r="F74" t="s">
        <v>32</v>
      </c>
      <c r="G74" t="s">
        <v>413</v>
      </c>
      <c r="H74" t="s">
        <v>414</v>
      </c>
      <c r="I74" t="s">
        <v>170</v>
      </c>
      <c r="J74">
        <v>2022</v>
      </c>
      <c r="K74">
        <v>54</v>
      </c>
      <c r="L74">
        <v>11</v>
      </c>
      <c r="M74" t="s">
        <v>620</v>
      </c>
      <c r="N74" t="str">
        <f>HYPERLINK("http://dx.doi.org/10.1007/s11082-022-04120-w","http://dx.doi.org/10.1007/s11082-022-04120-w")</f>
        <v>http://dx.doi.org/10.1007/s11082-022-04120-w</v>
      </c>
      <c r="O74" t="s">
        <v>621</v>
      </c>
      <c r="P74" t="str">
        <f>HYPERLINK("https%3A%2F%2Fwww.webofscience.com%2Fwos%2Fwoscc%2Ffull-record%2FWOS:000854789500012","View Full Record in Web of Science")</f>
        <v>View Full Record in Web of Science</v>
      </c>
    </row>
    <row r="75" spans="1:16" x14ac:dyDescent="0.25">
      <c r="A75" t="s">
        <v>622</v>
      </c>
      <c r="B75" t="s">
        <v>623</v>
      </c>
      <c r="C75" t="s">
        <v>624</v>
      </c>
      <c r="D75" t="s">
        <v>410</v>
      </c>
      <c r="E75" t="s">
        <v>625</v>
      </c>
      <c r="F75" t="s">
        <v>626</v>
      </c>
      <c r="G75" t="s">
        <v>413</v>
      </c>
      <c r="H75" t="s">
        <v>414</v>
      </c>
      <c r="I75" t="s">
        <v>170</v>
      </c>
      <c r="J75">
        <v>2022</v>
      </c>
      <c r="K75">
        <v>54</v>
      </c>
      <c r="L75">
        <v>11</v>
      </c>
      <c r="M75" t="s">
        <v>627</v>
      </c>
      <c r="N75" t="str">
        <f>HYPERLINK("http://dx.doi.org/10.1007/s11082-022-04149-x","http://dx.doi.org/10.1007/s11082-022-04149-x")</f>
        <v>http://dx.doi.org/10.1007/s11082-022-04149-x</v>
      </c>
      <c r="O75" t="s">
        <v>628</v>
      </c>
      <c r="P75" t="str">
        <f>HYPERLINK("https%3A%2F%2Fwww.webofscience.com%2Fwos%2Fwoscc%2Ffull-record%2FWOS:000854650000004","View Full Record in Web of Science")</f>
        <v>View Full Record in Web of Science</v>
      </c>
    </row>
    <row r="76" spans="1:16" x14ac:dyDescent="0.25">
      <c r="A76" t="s">
        <v>452</v>
      </c>
      <c r="B76" t="s">
        <v>453</v>
      </c>
      <c r="C76" t="s">
        <v>629</v>
      </c>
      <c r="D76" t="s">
        <v>410</v>
      </c>
      <c r="E76" t="s">
        <v>630</v>
      </c>
      <c r="F76" t="s">
        <v>32</v>
      </c>
      <c r="G76" t="s">
        <v>413</v>
      </c>
      <c r="H76" t="s">
        <v>414</v>
      </c>
      <c r="I76" t="s">
        <v>170</v>
      </c>
      <c r="J76">
        <v>2022</v>
      </c>
      <c r="K76">
        <v>54</v>
      </c>
      <c r="L76">
        <v>11</v>
      </c>
      <c r="M76" t="s">
        <v>631</v>
      </c>
      <c r="N76" t="str">
        <f>HYPERLINK("http://dx.doi.org/10.1007/s11082-022-04140-6","http://dx.doi.org/10.1007/s11082-022-04140-6")</f>
        <v>http://dx.doi.org/10.1007/s11082-022-04140-6</v>
      </c>
      <c r="O76" t="s">
        <v>632</v>
      </c>
      <c r="P76" t="str">
        <f>HYPERLINK("https%3A%2F%2Fwww.webofscience.com%2Fwos%2Fwoscc%2Ffull-record%2FWOS:000854650000015","View Full Record in Web of Science")</f>
        <v>View Full Record in Web of Science</v>
      </c>
    </row>
    <row r="77" spans="1:16" x14ac:dyDescent="0.25">
      <c r="A77" t="s">
        <v>633</v>
      </c>
      <c r="B77" t="s">
        <v>634</v>
      </c>
      <c r="C77" t="s">
        <v>635</v>
      </c>
      <c r="D77" t="s">
        <v>567</v>
      </c>
      <c r="E77" t="s">
        <v>636</v>
      </c>
      <c r="F77" t="s">
        <v>637</v>
      </c>
      <c r="G77" t="s">
        <v>570</v>
      </c>
      <c r="H77" t="s">
        <v>571</v>
      </c>
      <c r="I77" t="s">
        <v>45</v>
      </c>
      <c r="J77">
        <v>2022</v>
      </c>
      <c r="K77">
        <v>162</v>
      </c>
      <c r="L77" t="s">
        <v>32</v>
      </c>
      <c r="M77" t="s">
        <v>638</v>
      </c>
      <c r="N77" t="str">
        <f>HYPERLINK("http://dx.doi.org/10.1016/j.chaos.2022.112494","http://dx.doi.org/10.1016/j.chaos.2022.112494")</f>
        <v>http://dx.doi.org/10.1016/j.chaos.2022.112494</v>
      </c>
      <c r="O77" t="s">
        <v>639</v>
      </c>
      <c r="P77" t="str">
        <f>HYPERLINK("https%3A%2F%2Fwww.webofscience.com%2Fwos%2Fwoscc%2Ffull-record%2FWOS:000851394200016","View Full Record in Web of Science")</f>
        <v>View Full Record in Web of Science</v>
      </c>
    </row>
    <row r="78" spans="1:16" x14ac:dyDescent="0.25">
      <c r="A78" t="s">
        <v>640</v>
      </c>
      <c r="B78" t="s">
        <v>641</v>
      </c>
      <c r="C78" t="s">
        <v>642</v>
      </c>
      <c r="D78" t="s">
        <v>455</v>
      </c>
      <c r="E78" t="s">
        <v>411</v>
      </c>
      <c r="F78" t="s">
        <v>643</v>
      </c>
      <c r="G78" t="s">
        <v>458</v>
      </c>
      <c r="H78" t="s">
        <v>32</v>
      </c>
      <c r="I78" t="s">
        <v>644</v>
      </c>
      <c r="J78">
        <v>2022</v>
      </c>
      <c r="K78">
        <v>137</v>
      </c>
      <c r="L78">
        <v>9</v>
      </c>
      <c r="M78" t="s">
        <v>645</v>
      </c>
      <c r="N78" t="str">
        <f>HYPERLINK("http://dx.doi.org/10.1140/epjp/s13360-022-03233-1","http://dx.doi.org/10.1140/epjp/s13360-022-03233-1")</f>
        <v>http://dx.doi.org/10.1140/epjp/s13360-022-03233-1</v>
      </c>
      <c r="O78" t="s">
        <v>646</v>
      </c>
      <c r="P78" t="str">
        <f>HYPERLINK("https%3A%2F%2Fwww.webofscience.com%2Fwos%2Fwoscc%2Ffull-record%2FWOS:000852383200006","View Full Record in Web of Science")</f>
        <v>View Full Record in Web of Science</v>
      </c>
    </row>
    <row r="79" spans="1:16" x14ac:dyDescent="0.25">
      <c r="A79" t="s">
        <v>647</v>
      </c>
      <c r="B79" t="s">
        <v>648</v>
      </c>
      <c r="C79" t="s">
        <v>649</v>
      </c>
      <c r="D79" t="s">
        <v>650</v>
      </c>
      <c r="E79" t="s">
        <v>651</v>
      </c>
      <c r="F79" t="s">
        <v>652</v>
      </c>
      <c r="G79" t="s">
        <v>653</v>
      </c>
      <c r="H79" t="s">
        <v>654</v>
      </c>
      <c r="I79" t="s">
        <v>427</v>
      </c>
      <c r="J79">
        <v>2022</v>
      </c>
      <c r="K79">
        <v>28</v>
      </c>
      <c r="L79">
        <v>10</v>
      </c>
      <c r="M79" t="s">
        <v>655</v>
      </c>
      <c r="N79" t="str">
        <f>HYPERLINK("http://dx.doi.org/10.1007/s00894-022-05297-3","http://dx.doi.org/10.1007/s00894-022-05297-3")</f>
        <v>http://dx.doi.org/10.1007/s00894-022-05297-3</v>
      </c>
      <c r="O79" t="s">
        <v>656</v>
      </c>
      <c r="P79" t="str">
        <f>HYPERLINK("https%3A%2F%2Fwww.webofscience.com%2Fwos%2Fwoscc%2Ffull-record%2FWOS:000850587200007","View Full Record in Web of Science")</f>
        <v>View Full Record in Web of Science</v>
      </c>
    </row>
    <row r="80" spans="1:16" x14ac:dyDescent="0.25">
      <c r="A80" t="s">
        <v>657</v>
      </c>
      <c r="B80" t="s">
        <v>658</v>
      </c>
      <c r="C80" t="s">
        <v>659</v>
      </c>
      <c r="D80" t="s">
        <v>660</v>
      </c>
      <c r="E80" t="s">
        <v>661</v>
      </c>
      <c r="F80" t="s">
        <v>662</v>
      </c>
      <c r="G80" t="s">
        <v>32</v>
      </c>
      <c r="H80" t="s">
        <v>663</v>
      </c>
      <c r="I80" t="s">
        <v>45</v>
      </c>
      <c r="J80">
        <v>2022</v>
      </c>
      <c r="K80">
        <v>11</v>
      </c>
      <c r="L80">
        <v>17</v>
      </c>
      <c r="M80" t="s">
        <v>664</v>
      </c>
      <c r="N80" t="str">
        <f>HYPERLINK("http://dx.doi.org/10.3390/jcm11175151","http://dx.doi.org/10.3390/jcm11175151")</f>
        <v>http://dx.doi.org/10.3390/jcm11175151</v>
      </c>
      <c r="O80" t="s">
        <v>665</v>
      </c>
      <c r="P80" t="str">
        <f>HYPERLINK("https%3A%2F%2Fwww.webofscience.com%2Fwos%2Fwoscc%2Ffull-record%2FWOS:000851166600001","View Full Record in Web of Science")</f>
        <v>View Full Record in Web of Science</v>
      </c>
    </row>
    <row r="81" spans="1:16" x14ac:dyDescent="0.25">
      <c r="A81" t="s">
        <v>666</v>
      </c>
      <c r="B81" t="s">
        <v>667</v>
      </c>
      <c r="C81" t="s">
        <v>668</v>
      </c>
      <c r="D81" t="s">
        <v>577</v>
      </c>
      <c r="E81" t="s">
        <v>32</v>
      </c>
      <c r="F81" t="s">
        <v>32</v>
      </c>
      <c r="G81" t="s">
        <v>580</v>
      </c>
      <c r="H81" t="s">
        <v>581</v>
      </c>
      <c r="I81" t="s">
        <v>449</v>
      </c>
      <c r="J81">
        <v>2022</v>
      </c>
      <c r="K81">
        <v>30</v>
      </c>
      <c r="L81">
        <v>5</v>
      </c>
      <c r="M81" t="s">
        <v>669</v>
      </c>
      <c r="N81" t="str">
        <f>HYPERLINK("http://dx.doi.org/10.1142/S0218348X22401612","http://dx.doi.org/10.1142/S0218348X22401612")</f>
        <v>http://dx.doi.org/10.1142/S0218348X22401612</v>
      </c>
      <c r="O81" t="s">
        <v>670</v>
      </c>
      <c r="P81" t="str">
        <f>HYPERLINK("https%3A%2F%2Fwww.webofscience.com%2Fwos%2Fwoscc%2Ffull-record%2FWOS:000846027200001","View Full Record in Web of Science")</f>
        <v>View Full Record in Web of Science</v>
      </c>
    </row>
    <row r="82" spans="1:16" x14ac:dyDescent="0.25">
      <c r="A82" t="s">
        <v>671</v>
      </c>
      <c r="B82" t="s">
        <v>672</v>
      </c>
      <c r="C82" t="s">
        <v>673</v>
      </c>
      <c r="D82" t="s">
        <v>577</v>
      </c>
      <c r="E82" t="s">
        <v>674</v>
      </c>
      <c r="F82" t="s">
        <v>675</v>
      </c>
      <c r="G82" t="s">
        <v>580</v>
      </c>
      <c r="H82" t="s">
        <v>581</v>
      </c>
      <c r="I82" t="s">
        <v>449</v>
      </c>
      <c r="J82">
        <v>2022</v>
      </c>
      <c r="K82">
        <v>30</v>
      </c>
      <c r="L82">
        <v>5</v>
      </c>
      <c r="M82" t="s">
        <v>676</v>
      </c>
      <c r="N82" t="str">
        <f>HYPERLINK("http://dx.doi.org/10.1142/S0218348X22401442","http://dx.doi.org/10.1142/S0218348X22401442")</f>
        <v>http://dx.doi.org/10.1142/S0218348X22401442</v>
      </c>
      <c r="O82" t="s">
        <v>677</v>
      </c>
      <c r="P82" t="str">
        <f>HYPERLINK("https%3A%2F%2Fwww.webofscience.com%2Fwos%2Fwoscc%2Ffull-record%2FWOS:000846027200034","View Full Record in Web of Science")</f>
        <v>View Full Record in Web of Science</v>
      </c>
    </row>
    <row r="83" spans="1:16" x14ac:dyDescent="0.25">
      <c r="A83" t="s">
        <v>678</v>
      </c>
      <c r="B83" t="s">
        <v>679</v>
      </c>
      <c r="C83" t="s">
        <v>680</v>
      </c>
      <c r="D83" t="s">
        <v>577</v>
      </c>
      <c r="E83" t="s">
        <v>681</v>
      </c>
      <c r="F83" t="s">
        <v>682</v>
      </c>
      <c r="G83" t="s">
        <v>580</v>
      </c>
      <c r="H83" t="s">
        <v>581</v>
      </c>
      <c r="I83" t="s">
        <v>449</v>
      </c>
      <c r="J83">
        <v>2022</v>
      </c>
      <c r="K83">
        <v>30</v>
      </c>
      <c r="L83">
        <v>5</v>
      </c>
      <c r="M83" t="s">
        <v>683</v>
      </c>
      <c r="N83" t="str">
        <f>HYPERLINK("http://dx.doi.org/10.1142/S0218348X22401843","http://dx.doi.org/10.1142/S0218348X22401843")</f>
        <v>http://dx.doi.org/10.1142/S0218348X22401843</v>
      </c>
      <c r="O83" t="s">
        <v>684</v>
      </c>
      <c r="P83" t="str">
        <f>HYPERLINK("https%3A%2F%2Fwww.webofscience.com%2Fwos%2Fwoscc%2Ffull-record%2FWOS:000846027200064","View Full Record in Web of Science")</f>
        <v>View Full Record in Web of Science</v>
      </c>
    </row>
    <row r="84" spans="1:16" x14ac:dyDescent="0.25">
      <c r="A84" t="s">
        <v>685</v>
      </c>
      <c r="B84" t="s">
        <v>686</v>
      </c>
      <c r="C84" t="s">
        <v>687</v>
      </c>
      <c r="D84" t="s">
        <v>577</v>
      </c>
      <c r="E84" t="s">
        <v>688</v>
      </c>
      <c r="F84" t="s">
        <v>689</v>
      </c>
      <c r="G84" t="s">
        <v>580</v>
      </c>
      <c r="H84" t="s">
        <v>581</v>
      </c>
      <c r="I84" t="s">
        <v>449</v>
      </c>
      <c r="J84">
        <v>2022</v>
      </c>
      <c r="K84">
        <v>30</v>
      </c>
      <c r="L84">
        <v>5</v>
      </c>
      <c r="M84" t="s">
        <v>690</v>
      </c>
      <c r="N84" t="str">
        <f>HYPERLINK("http://dx.doi.org/10.1142/S0218348X22401739","http://dx.doi.org/10.1142/S0218348X22401739")</f>
        <v>http://dx.doi.org/10.1142/S0218348X22401739</v>
      </c>
      <c r="O84" t="s">
        <v>691</v>
      </c>
      <c r="P84" t="str">
        <f>HYPERLINK("https%3A%2F%2Fwww.webofscience.com%2Fwos%2Fwoscc%2Ffull-record%2FWOS:000846027200006","View Full Record in Web of Science")</f>
        <v>View Full Record in Web of Science</v>
      </c>
    </row>
    <row r="85" spans="1:16" x14ac:dyDescent="0.25">
      <c r="A85" t="s">
        <v>692</v>
      </c>
      <c r="B85" t="s">
        <v>693</v>
      </c>
      <c r="C85" t="s">
        <v>694</v>
      </c>
      <c r="D85" t="s">
        <v>577</v>
      </c>
      <c r="E85" t="s">
        <v>695</v>
      </c>
      <c r="F85" t="s">
        <v>696</v>
      </c>
      <c r="G85" t="s">
        <v>580</v>
      </c>
      <c r="H85" t="s">
        <v>581</v>
      </c>
      <c r="I85" t="s">
        <v>449</v>
      </c>
      <c r="J85">
        <v>2022</v>
      </c>
      <c r="K85">
        <v>30</v>
      </c>
      <c r="L85">
        <v>5</v>
      </c>
      <c r="M85" t="s">
        <v>697</v>
      </c>
      <c r="N85" t="str">
        <f>HYPERLINK("http://dx.doi.org/10.1142/S0218348X22401387","http://dx.doi.org/10.1142/S0218348X22401387")</f>
        <v>http://dx.doi.org/10.1142/S0218348X22401387</v>
      </c>
      <c r="O85" t="s">
        <v>698</v>
      </c>
      <c r="P85" t="str">
        <f>HYPERLINK("https%3A%2F%2Fwww.webofscience.com%2Fwos%2Fwoscc%2Ffull-record%2FWOS:000846027200003","View Full Record in Web of Science")</f>
        <v>View Full Record in Web of Science</v>
      </c>
    </row>
    <row r="86" spans="1:16" x14ac:dyDescent="0.25">
      <c r="A86" t="s">
        <v>699</v>
      </c>
      <c r="B86" t="s">
        <v>700</v>
      </c>
      <c r="C86" t="s">
        <v>701</v>
      </c>
      <c r="D86" t="s">
        <v>577</v>
      </c>
      <c r="E86" t="s">
        <v>702</v>
      </c>
      <c r="F86" t="s">
        <v>703</v>
      </c>
      <c r="G86" t="s">
        <v>580</v>
      </c>
      <c r="H86" t="s">
        <v>581</v>
      </c>
      <c r="I86" t="s">
        <v>449</v>
      </c>
      <c r="J86">
        <v>2022</v>
      </c>
      <c r="K86">
        <v>30</v>
      </c>
      <c r="L86">
        <v>5</v>
      </c>
      <c r="M86" t="s">
        <v>704</v>
      </c>
      <c r="N86" t="str">
        <f>HYPERLINK("http://dx.doi.org/10.1142/S0218348X22401351","http://dx.doi.org/10.1142/S0218348X22401351")</f>
        <v>http://dx.doi.org/10.1142/S0218348X22401351</v>
      </c>
      <c r="O86" t="s">
        <v>705</v>
      </c>
      <c r="P86" t="str">
        <f>HYPERLINK("https%3A%2F%2Fwww.webofscience.com%2Fwos%2Fwoscc%2Ffull-record%2FWOS:000846027200065","View Full Record in Web of Science")</f>
        <v>View Full Record in Web of Science</v>
      </c>
    </row>
    <row r="87" spans="1:16" x14ac:dyDescent="0.25">
      <c r="A87" t="s">
        <v>706</v>
      </c>
      <c r="B87" t="s">
        <v>707</v>
      </c>
      <c r="C87" t="s">
        <v>708</v>
      </c>
      <c r="D87" t="s">
        <v>709</v>
      </c>
      <c r="E87" t="s">
        <v>710</v>
      </c>
      <c r="F87" t="s">
        <v>711</v>
      </c>
      <c r="G87" t="s">
        <v>712</v>
      </c>
      <c r="H87" t="s">
        <v>713</v>
      </c>
      <c r="I87" t="s">
        <v>93</v>
      </c>
      <c r="J87">
        <v>2022</v>
      </c>
      <c r="K87">
        <v>157</v>
      </c>
      <c r="L87" t="s">
        <v>32</v>
      </c>
      <c r="M87" t="s">
        <v>714</v>
      </c>
      <c r="N87" t="str">
        <f>HYPERLINK("http://dx.doi.org/10.1016/j.ijporl.2022.111129","http://dx.doi.org/10.1016/j.ijporl.2022.111129")</f>
        <v>http://dx.doi.org/10.1016/j.ijporl.2022.111129</v>
      </c>
      <c r="O87" t="s">
        <v>715</v>
      </c>
      <c r="P87" t="str">
        <f>HYPERLINK("https%3A%2F%2Fwww.webofscience.com%2Fwos%2Fwoscc%2Ffull-record%2FWOS:000849774200009","View Full Record in Web of Science")</f>
        <v>View Full Record in Web of Science</v>
      </c>
    </row>
    <row r="88" spans="1:16" x14ac:dyDescent="0.25">
      <c r="A88" t="s">
        <v>716</v>
      </c>
      <c r="B88" t="s">
        <v>717</v>
      </c>
      <c r="C88" t="s">
        <v>718</v>
      </c>
      <c r="D88" t="s">
        <v>719</v>
      </c>
      <c r="E88" t="s">
        <v>720</v>
      </c>
      <c r="F88" t="s">
        <v>545</v>
      </c>
      <c r="G88" t="s">
        <v>721</v>
      </c>
      <c r="H88" t="s">
        <v>722</v>
      </c>
      <c r="I88" t="s">
        <v>723</v>
      </c>
      <c r="J88">
        <v>2022</v>
      </c>
      <c r="K88">
        <v>36</v>
      </c>
      <c r="L88">
        <v>30</v>
      </c>
      <c r="M88" t="s">
        <v>724</v>
      </c>
      <c r="N88" t="str">
        <f>HYPERLINK("http://dx.doi.org/10.1142/S0217979222502216","http://dx.doi.org/10.1142/S0217979222502216")</f>
        <v>http://dx.doi.org/10.1142/S0217979222502216</v>
      </c>
      <c r="O88" t="s">
        <v>725</v>
      </c>
      <c r="P88" t="str">
        <f>HYPERLINK("https%3A%2F%2Fwww.webofscience.com%2Fwos%2Fwoscc%2Ffull-record%2FWOS:000848672600002","View Full Record in Web of Science")</f>
        <v>View Full Record in Web of Science</v>
      </c>
    </row>
    <row r="89" spans="1:16" x14ac:dyDescent="0.25">
      <c r="A89" t="s">
        <v>726</v>
      </c>
      <c r="B89" t="s">
        <v>727</v>
      </c>
      <c r="C89" t="s">
        <v>728</v>
      </c>
      <c r="D89" t="s">
        <v>191</v>
      </c>
      <c r="E89" t="s">
        <v>578</v>
      </c>
      <c r="F89" t="s">
        <v>729</v>
      </c>
      <c r="G89" t="s">
        <v>194</v>
      </c>
      <c r="H89" t="s">
        <v>195</v>
      </c>
      <c r="I89" t="s">
        <v>730</v>
      </c>
      <c r="J89">
        <v>2022</v>
      </c>
      <c r="K89">
        <v>36</v>
      </c>
      <c r="L89">
        <v>23</v>
      </c>
      <c r="M89" t="s">
        <v>731</v>
      </c>
      <c r="N89" t="str">
        <f>HYPERLINK("http://dx.doi.org/10.1142/S0217984922501160","http://dx.doi.org/10.1142/S0217984922501160")</f>
        <v>http://dx.doi.org/10.1142/S0217984922501160</v>
      </c>
      <c r="O89" t="s">
        <v>732</v>
      </c>
      <c r="P89" t="str">
        <f>HYPERLINK("https%3A%2F%2Fwww.webofscience.com%2Fwos%2Fwoscc%2Ffull-record%2FWOS:000848597000002","View Full Record in Web of Science")</f>
        <v>View Full Record in Web of Science</v>
      </c>
    </row>
    <row r="90" spans="1:16" x14ac:dyDescent="0.25">
      <c r="A90" t="s">
        <v>733</v>
      </c>
      <c r="B90" t="s">
        <v>734</v>
      </c>
      <c r="C90" t="s">
        <v>735</v>
      </c>
      <c r="D90" t="s">
        <v>736</v>
      </c>
      <c r="E90" t="s">
        <v>185</v>
      </c>
      <c r="F90" t="s">
        <v>737</v>
      </c>
      <c r="G90" t="s">
        <v>738</v>
      </c>
      <c r="H90" t="s">
        <v>739</v>
      </c>
      <c r="I90" t="s">
        <v>740</v>
      </c>
      <c r="J90">
        <v>2022</v>
      </c>
      <c r="K90">
        <v>130</v>
      </c>
      <c r="L90">
        <v>4</v>
      </c>
      <c r="M90" t="s">
        <v>741</v>
      </c>
      <c r="N90" t="str">
        <f>HYPERLINK("http://dx.doi.org/10.1134/S0030400X22040038","http://dx.doi.org/10.1134/S0030400X22040038")</f>
        <v>http://dx.doi.org/10.1134/S0030400X22040038</v>
      </c>
      <c r="O90" t="s">
        <v>742</v>
      </c>
      <c r="P90" t="str">
        <f>HYPERLINK("https%3A%2F%2Fwww.webofscience.com%2Fwos%2Fwoscc%2Ffull-record%2FWOS:000848893600002","View Full Record in Web of Science")</f>
        <v>View Full Record in Web of Science</v>
      </c>
    </row>
    <row r="91" spans="1:16" x14ac:dyDescent="0.25">
      <c r="A91" t="s">
        <v>743</v>
      </c>
      <c r="B91" t="s">
        <v>744</v>
      </c>
      <c r="C91" t="s">
        <v>745</v>
      </c>
      <c r="D91" t="s">
        <v>746</v>
      </c>
      <c r="E91" t="s">
        <v>747</v>
      </c>
      <c r="F91" t="s">
        <v>748</v>
      </c>
      <c r="G91" t="s">
        <v>749</v>
      </c>
      <c r="H91" t="s">
        <v>32</v>
      </c>
      <c r="I91" t="s">
        <v>750</v>
      </c>
      <c r="J91">
        <v>2022</v>
      </c>
      <c r="K91">
        <v>15</v>
      </c>
      <c r="L91">
        <v>1</v>
      </c>
      <c r="M91" t="s">
        <v>751</v>
      </c>
      <c r="N91" t="str">
        <f>HYPERLINK("http://dx.doi.org/10.1186/s13071-022-05431-3","http://dx.doi.org/10.1186/s13071-022-05431-3")</f>
        <v>http://dx.doi.org/10.1186/s13071-022-05431-3</v>
      </c>
      <c r="O91" t="s">
        <v>752</v>
      </c>
      <c r="P91" t="str">
        <f>HYPERLINK("https%3A%2F%2Fwww.webofscience.com%2Fwos%2Fwoscc%2Ffull-record%2FWOS:000847356300003","View Full Record in Web of Science")</f>
        <v>View Full Record in Web of Science</v>
      </c>
    </row>
    <row r="92" spans="1:16" x14ac:dyDescent="0.25">
      <c r="A92" t="s">
        <v>753</v>
      </c>
      <c r="B92" t="s">
        <v>754</v>
      </c>
      <c r="C92" t="s">
        <v>755</v>
      </c>
      <c r="D92" t="s">
        <v>309</v>
      </c>
      <c r="E92" t="s">
        <v>756</v>
      </c>
      <c r="F92" t="s">
        <v>757</v>
      </c>
      <c r="G92" t="s">
        <v>32</v>
      </c>
      <c r="H92" t="s">
        <v>312</v>
      </c>
      <c r="I92" t="s">
        <v>449</v>
      </c>
      <c r="J92">
        <v>2022</v>
      </c>
      <c r="K92">
        <v>10</v>
      </c>
      <c r="L92">
        <v>16</v>
      </c>
      <c r="M92" t="s">
        <v>758</v>
      </c>
      <c r="N92" t="str">
        <f>HYPERLINK("http://dx.doi.org/10.3390/math10162968","http://dx.doi.org/10.3390/math10162968")</f>
        <v>http://dx.doi.org/10.3390/math10162968</v>
      </c>
      <c r="O92" t="s">
        <v>759</v>
      </c>
      <c r="P92" t="str">
        <f>HYPERLINK("https%3A%2F%2Fwww.webofscience.com%2Fwos%2Fwoscc%2Ffull-record%2FWOS:000846566100001","View Full Record in Web of Science")</f>
        <v>View Full Record in Web of Science</v>
      </c>
    </row>
    <row r="93" spans="1:16" x14ac:dyDescent="0.25">
      <c r="A93" t="s">
        <v>760</v>
      </c>
      <c r="B93" t="s">
        <v>761</v>
      </c>
      <c r="C93" t="s">
        <v>762</v>
      </c>
      <c r="D93" t="s">
        <v>410</v>
      </c>
      <c r="E93" t="s">
        <v>411</v>
      </c>
      <c r="F93" t="s">
        <v>412</v>
      </c>
      <c r="G93" t="s">
        <v>413</v>
      </c>
      <c r="H93" t="s">
        <v>414</v>
      </c>
      <c r="I93" t="s">
        <v>427</v>
      </c>
      <c r="J93">
        <v>2022</v>
      </c>
      <c r="K93">
        <v>54</v>
      </c>
      <c r="L93">
        <v>10</v>
      </c>
      <c r="M93" t="s">
        <v>763</v>
      </c>
      <c r="N93" t="str">
        <f>HYPERLINK("http://dx.doi.org/10.1007/s11082-022-04014-x","http://dx.doi.org/10.1007/s11082-022-04014-x")</f>
        <v>http://dx.doi.org/10.1007/s11082-022-04014-x</v>
      </c>
      <c r="O93" t="s">
        <v>764</v>
      </c>
      <c r="P93" t="str">
        <f>HYPERLINK("https%3A%2F%2Fwww.webofscience.com%2Fwos%2Fwoscc%2Ffull-record%2FWOS:000844242300021","View Full Record in Web of Science")</f>
        <v>View Full Record in Web of Science</v>
      </c>
    </row>
    <row r="94" spans="1:16" x14ac:dyDescent="0.25">
      <c r="A94" t="s">
        <v>726</v>
      </c>
      <c r="B94" t="s">
        <v>727</v>
      </c>
      <c r="C94" t="s">
        <v>765</v>
      </c>
      <c r="D94" t="s">
        <v>410</v>
      </c>
      <c r="E94" t="s">
        <v>766</v>
      </c>
      <c r="F94" t="s">
        <v>32</v>
      </c>
      <c r="G94" t="s">
        <v>413</v>
      </c>
      <c r="H94" t="s">
        <v>414</v>
      </c>
      <c r="I94" t="s">
        <v>427</v>
      </c>
      <c r="J94">
        <v>2022</v>
      </c>
      <c r="K94">
        <v>54</v>
      </c>
      <c r="L94">
        <v>10</v>
      </c>
      <c r="M94" t="s">
        <v>767</v>
      </c>
      <c r="N94" t="str">
        <f>HYPERLINK("http://dx.doi.org/10.1007/s11082-022-04021-y","http://dx.doi.org/10.1007/s11082-022-04021-y")</f>
        <v>http://dx.doi.org/10.1007/s11082-022-04021-y</v>
      </c>
      <c r="O94" t="s">
        <v>768</v>
      </c>
      <c r="P94" t="str">
        <f>HYPERLINK("https%3A%2F%2Fwww.webofscience.com%2Fwos%2Fwoscc%2Ffull-record%2FWOS:000842421500003","View Full Record in Web of Science")</f>
        <v>View Full Record in Web of Science</v>
      </c>
    </row>
    <row r="95" spans="1:16" x14ac:dyDescent="0.25">
      <c r="A95" t="s">
        <v>769</v>
      </c>
      <c r="B95" t="s">
        <v>770</v>
      </c>
      <c r="C95" t="s">
        <v>771</v>
      </c>
      <c r="D95" t="s">
        <v>465</v>
      </c>
      <c r="E95" t="s">
        <v>772</v>
      </c>
      <c r="F95" t="s">
        <v>773</v>
      </c>
      <c r="G95" t="s">
        <v>468</v>
      </c>
      <c r="H95" t="s">
        <v>469</v>
      </c>
      <c r="I95" t="s">
        <v>774</v>
      </c>
      <c r="J95">
        <v>2022</v>
      </c>
      <c r="K95">
        <v>97</v>
      </c>
      <c r="L95">
        <v>9</v>
      </c>
      <c r="M95" t="s">
        <v>775</v>
      </c>
      <c r="N95" t="str">
        <f>HYPERLINK("http://dx.doi.org/10.1088/1402-4896/ac883f","http://dx.doi.org/10.1088/1402-4896/ac883f")</f>
        <v>http://dx.doi.org/10.1088/1402-4896/ac883f</v>
      </c>
      <c r="O95" t="s">
        <v>776</v>
      </c>
      <c r="P95" t="str">
        <f>HYPERLINK("https%3A%2F%2Fwww.webofscience.com%2Fwos%2Fwoscc%2Ffull-record%2FWOS:000843578000001","View Full Record in Web of Science")</f>
        <v>View Full Record in Web of Science</v>
      </c>
    </row>
    <row r="96" spans="1:16" x14ac:dyDescent="0.25">
      <c r="A96" t="s">
        <v>777</v>
      </c>
      <c r="B96" t="s">
        <v>778</v>
      </c>
      <c r="C96" t="s">
        <v>779</v>
      </c>
      <c r="D96" t="s">
        <v>780</v>
      </c>
      <c r="E96" t="s">
        <v>781</v>
      </c>
      <c r="F96" t="s">
        <v>782</v>
      </c>
      <c r="G96" t="s">
        <v>783</v>
      </c>
      <c r="H96" t="s">
        <v>784</v>
      </c>
      <c r="I96" t="s">
        <v>45</v>
      </c>
      <c r="J96">
        <v>2022</v>
      </c>
      <c r="K96">
        <v>42</v>
      </c>
      <c r="L96">
        <v>9</v>
      </c>
      <c r="M96" t="s">
        <v>785</v>
      </c>
      <c r="N96" t="str">
        <f>HYPERLINK("http://dx.doi.org/10.1097/IAE.0000000000003514","http://dx.doi.org/10.1097/IAE.0000000000003514")</f>
        <v>http://dx.doi.org/10.1097/IAE.0000000000003514</v>
      </c>
      <c r="O96" t="s">
        <v>786</v>
      </c>
      <c r="P96" t="str">
        <f>HYPERLINK("https%3A%2F%2Fwww.webofscience.com%2Fwos%2Fwoscc%2Ffull-record%2FWOS:000842662100020","View Full Record in Web of Science")</f>
        <v>View Full Record in Web of Science</v>
      </c>
    </row>
    <row r="97" spans="1:16" x14ac:dyDescent="0.25">
      <c r="A97" t="s">
        <v>787</v>
      </c>
      <c r="B97" t="s">
        <v>788</v>
      </c>
      <c r="C97" t="s">
        <v>789</v>
      </c>
      <c r="D97" t="s">
        <v>790</v>
      </c>
      <c r="E97" t="s">
        <v>791</v>
      </c>
      <c r="F97" t="s">
        <v>792</v>
      </c>
      <c r="G97" t="s">
        <v>793</v>
      </c>
      <c r="H97" t="s">
        <v>794</v>
      </c>
      <c r="I97" t="s">
        <v>83</v>
      </c>
      <c r="J97">
        <v>2022</v>
      </c>
      <c r="K97">
        <v>110</v>
      </c>
      <c r="L97">
        <v>4</v>
      </c>
      <c r="M97" t="s">
        <v>795</v>
      </c>
      <c r="N97" t="str">
        <f>HYPERLINK("http://dx.doi.org/10.1007/s11071-022-07789-6","http://dx.doi.org/10.1007/s11071-022-07789-6")</f>
        <v>http://dx.doi.org/10.1007/s11071-022-07789-6</v>
      </c>
      <c r="O97" t="s">
        <v>796</v>
      </c>
      <c r="P97" t="str">
        <f>HYPERLINK("https%3A%2F%2Fwww.webofscience.com%2Fwos%2Fwoscc%2Ffull-record%2FWOS:000842892800001","View Full Record in Web of Science")</f>
        <v>View Full Record in Web of Science</v>
      </c>
    </row>
    <row r="98" spans="1:16" x14ac:dyDescent="0.25">
      <c r="A98" t="s">
        <v>797</v>
      </c>
      <c r="B98" t="s">
        <v>798</v>
      </c>
      <c r="C98" t="s">
        <v>799</v>
      </c>
      <c r="D98" t="s">
        <v>476</v>
      </c>
      <c r="E98" t="s">
        <v>369</v>
      </c>
      <c r="F98" t="s">
        <v>800</v>
      </c>
      <c r="G98" t="s">
        <v>479</v>
      </c>
      <c r="H98" t="s">
        <v>480</v>
      </c>
      <c r="I98" t="s">
        <v>93</v>
      </c>
      <c r="J98">
        <v>2022</v>
      </c>
      <c r="K98">
        <v>39</v>
      </c>
      <c r="L98">
        <v>3</v>
      </c>
      <c r="M98" t="s">
        <v>801</v>
      </c>
      <c r="N98" t="str">
        <f>HYPERLINK("http://dx.doi.org/10.18280/ts.390301","http://dx.doi.org/10.18280/ts.390301")</f>
        <v>http://dx.doi.org/10.18280/ts.390301</v>
      </c>
      <c r="O98" t="s">
        <v>802</v>
      </c>
      <c r="P98" t="str">
        <f>HYPERLINK("https%3A%2F%2Fwww.webofscience.com%2Fwos%2Fwoscc%2Ffull-record%2FWOS:000834793500001","View Full Record in Web of Science")</f>
        <v>View Full Record in Web of Science</v>
      </c>
    </row>
    <row r="99" spans="1:16" x14ac:dyDescent="0.25">
      <c r="A99" t="s">
        <v>803</v>
      </c>
      <c r="B99" t="s">
        <v>804</v>
      </c>
      <c r="C99" t="s">
        <v>805</v>
      </c>
      <c r="D99" t="s">
        <v>191</v>
      </c>
      <c r="E99" t="s">
        <v>806</v>
      </c>
      <c r="F99" t="s">
        <v>807</v>
      </c>
      <c r="G99" t="s">
        <v>194</v>
      </c>
      <c r="H99" t="s">
        <v>195</v>
      </c>
      <c r="I99" t="s">
        <v>808</v>
      </c>
      <c r="J99">
        <v>2022</v>
      </c>
      <c r="K99">
        <v>36</v>
      </c>
      <c r="L99">
        <v>20</v>
      </c>
      <c r="M99" t="s">
        <v>809</v>
      </c>
      <c r="N99" t="str">
        <f>HYPERLINK("http://dx.doi.org/10.1142/S0217984922500890","http://dx.doi.org/10.1142/S0217984922500890")</f>
        <v>http://dx.doi.org/10.1142/S0217984922500890</v>
      </c>
      <c r="O99" t="s">
        <v>810</v>
      </c>
      <c r="P99" t="str">
        <f>HYPERLINK("https%3A%2F%2Fwww.webofscience.com%2Fwos%2Fwoscc%2Ffull-record%2FWOS:000836045500002","View Full Record in Web of Science")</f>
        <v>View Full Record in Web of Science</v>
      </c>
    </row>
    <row r="100" spans="1:16" x14ac:dyDescent="0.25">
      <c r="A100" t="s">
        <v>811</v>
      </c>
      <c r="B100" t="s">
        <v>812</v>
      </c>
      <c r="C100" t="s">
        <v>813</v>
      </c>
      <c r="D100" t="s">
        <v>309</v>
      </c>
      <c r="E100" t="s">
        <v>814</v>
      </c>
      <c r="F100" t="s">
        <v>815</v>
      </c>
      <c r="G100" t="s">
        <v>32</v>
      </c>
      <c r="H100" t="s">
        <v>312</v>
      </c>
      <c r="I100" t="s">
        <v>449</v>
      </c>
      <c r="J100">
        <v>2022</v>
      </c>
      <c r="K100">
        <v>10</v>
      </c>
      <c r="L100">
        <v>15</v>
      </c>
      <c r="M100" t="s">
        <v>816</v>
      </c>
      <c r="N100" t="str">
        <f>HYPERLINK("http://dx.doi.org/10.3390/math10152805","http://dx.doi.org/10.3390/math10152805")</f>
        <v>http://dx.doi.org/10.3390/math10152805</v>
      </c>
      <c r="O100" t="s">
        <v>817</v>
      </c>
      <c r="P100" t="str">
        <f>HYPERLINK("https%3A%2F%2Fwww.webofscience.com%2Fwos%2Fwoscc%2Ffull-record%2FWOS:000839818300001","View Full Record in Web of Science")</f>
        <v>View Full Record in Web of Science</v>
      </c>
    </row>
    <row r="101" spans="1:16" x14ac:dyDescent="0.25">
      <c r="A101" t="s">
        <v>818</v>
      </c>
      <c r="B101" t="s">
        <v>819</v>
      </c>
      <c r="C101" t="s">
        <v>820</v>
      </c>
      <c r="D101" t="s">
        <v>821</v>
      </c>
      <c r="E101" t="s">
        <v>822</v>
      </c>
      <c r="F101" t="s">
        <v>823</v>
      </c>
      <c r="G101" t="s">
        <v>824</v>
      </c>
      <c r="H101" t="s">
        <v>825</v>
      </c>
      <c r="I101" t="s">
        <v>170</v>
      </c>
      <c r="J101">
        <v>2022</v>
      </c>
      <c r="K101">
        <v>45</v>
      </c>
      <c r="L101">
        <v>11</v>
      </c>
      <c r="M101" t="s">
        <v>826</v>
      </c>
      <c r="N101" t="str">
        <f>HYPERLINK("http://dx.doi.org/10.1007/s00270-022-03248-2","http://dx.doi.org/10.1007/s00270-022-03248-2")</f>
        <v>http://dx.doi.org/10.1007/s00270-022-03248-2</v>
      </c>
      <c r="O101" t="s">
        <v>827</v>
      </c>
      <c r="P101" t="str">
        <f>HYPERLINK("https%3A%2F%2Fwww.webofscience.com%2Fwos%2Fwoscc%2Ffull-record%2FWOS:000837925100004","View Full Record in Web of Science")</f>
        <v>View Full Record in Web of Science</v>
      </c>
    </row>
    <row r="102" spans="1:16" x14ac:dyDescent="0.25">
      <c r="A102" t="s">
        <v>828</v>
      </c>
      <c r="B102" t="s">
        <v>829</v>
      </c>
      <c r="C102" t="s">
        <v>830</v>
      </c>
      <c r="D102" t="s">
        <v>831</v>
      </c>
      <c r="E102" t="s">
        <v>832</v>
      </c>
      <c r="F102" t="s">
        <v>833</v>
      </c>
      <c r="G102" t="s">
        <v>834</v>
      </c>
      <c r="H102" t="s">
        <v>835</v>
      </c>
      <c r="I102" t="s">
        <v>83</v>
      </c>
      <c r="J102">
        <v>2022</v>
      </c>
      <c r="K102">
        <v>61</v>
      </c>
      <c r="L102">
        <v>12</v>
      </c>
      <c r="M102" t="s">
        <v>836</v>
      </c>
      <c r="N102" t="str">
        <f>HYPERLINK("http://dx.doi.org/10.1016/j.aej.2022.06.0471110-0168","http://dx.doi.org/10.1016/j.aej.2022.06.0471110-0168")</f>
        <v>http://dx.doi.org/10.1016/j.aej.2022.06.0471110-0168</v>
      </c>
      <c r="O102" t="s">
        <v>837</v>
      </c>
      <c r="P102" t="str">
        <f>HYPERLINK("https%3A%2F%2Fwww.webofscience.com%2Fwos%2Fwoscc%2Ffull-record%2FWOS:000835159200001","View Full Record in Web of Science")</f>
        <v>View Full Record in Web of Science</v>
      </c>
    </row>
    <row r="103" spans="1:16" x14ac:dyDescent="0.25">
      <c r="A103" t="s">
        <v>838</v>
      </c>
      <c r="B103" t="s">
        <v>839</v>
      </c>
      <c r="C103" t="s">
        <v>840</v>
      </c>
      <c r="D103" t="s">
        <v>410</v>
      </c>
      <c r="E103" t="s">
        <v>841</v>
      </c>
      <c r="F103" t="s">
        <v>842</v>
      </c>
      <c r="G103" t="s">
        <v>413</v>
      </c>
      <c r="H103" t="s">
        <v>414</v>
      </c>
      <c r="I103" t="s">
        <v>45</v>
      </c>
      <c r="J103">
        <v>2022</v>
      </c>
      <c r="K103">
        <v>54</v>
      </c>
      <c r="L103">
        <v>9</v>
      </c>
      <c r="M103" t="s">
        <v>843</v>
      </c>
      <c r="N103" t="str">
        <f>HYPERLINK("http://dx.doi.org/10.1007/s11082-022-04008-9","http://dx.doi.org/10.1007/s11082-022-04008-9")</f>
        <v>http://dx.doi.org/10.1007/s11082-022-04008-9</v>
      </c>
      <c r="O103" t="s">
        <v>844</v>
      </c>
      <c r="P103" t="str">
        <f>HYPERLINK("https%3A%2F%2Fwww.webofscience.com%2Fwos%2Fwoscc%2Ffull-record%2FWOS:000835743700007","View Full Record in Web of Science")</f>
        <v>View Full Record in Web of Science</v>
      </c>
    </row>
    <row r="104" spans="1:16" x14ac:dyDescent="0.25">
      <c r="A104" t="s">
        <v>845</v>
      </c>
      <c r="B104" t="s">
        <v>846</v>
      </c>
      <c r="C104" t="s">
        <v>847</v>
      </c>
      <c r="D104" t="s">
        <v>40</v>
      </c>
      <c r="E104" t="s">
        <v>848</v>
      </c>
      <c r="F104" t="s">
        <v>152</v>
      </c>
      <c r="G104" t="s">
        <v>43</v>
      </c>
      <c r="H104" t="s">
        <v>44</v>
      </c>
      <c r="I104" t="s">
        <v>427</v>
      </c>
      <c r="J104">
        <v>2022</v>
      </c>
      <c r="K104">
        <v>267</v>
      </c>
      <c r="L104" t="s">
        <v>32</v>
      </c>
      <c r="M104" t="s">
        <v>849</v>
      </c>
      <c r="N104" t="str">
        <f>HYPERLINK("http://dx.doi.org/10.1016/j.ijleo.2022.169622","http://dx.doi.org/10.1016/j.ijleo.2022.169622")</f>
        <v>http://dx.doi.org/10.1016/j.ijleo.2022.169622</v>
      </c>
      <c r="O104" t="s">
        <v>850</v>
      </c>
      <c r="P104" t="str">
        <f>HYPERLINK("https%3A%2F%2Fwww.webofscience.com%2Fwos%2Fwoscc%2Ffull-record%2FWOS:000835163200008","View Full Record in Web of Science")</f>
        <v>View Full Record in Web of Science</v>
      </c>
    </row>
    <row r="105" spans="1:16" x14ac:dyDescent="0.25">
      <c r="A105" t="s">
        <v>851</v>
      </c>
      <c r="B105" t="s">
        <v>852</v>
      </c>
      <c r="C105" t="s">
        <v>853</v>
      </c>
      <c r="D105" t="s">
        <v>40</v>
      </c>
      <c r="E105" t="s">
        <v>854</v>
      </c>
      <c r="F105" t="s">
        <v>42</v>
      </c>
      <c r="G105" t="s">
        <v>43</v>
      </c>
      <c r="H105" t="s">
        <v>44</v>
      </c>
      <c r="I105" t="s">
        <v>427</v>
      </c>
      <c r="J105">
        <v>2022</v>
      </c>
      <c r="K105">
        <v>267</v>
      </c>
      <c r="L105" t="s">
        <v>32</v>
      </c>
      <c r="M105" t="s">
        <v>855</v>
      </c>
      <c r="N105" t="str">
        <f>HYPERLINK("http://dx.doi.org/10.1016/j.ijleo.2022.169615","http://dx.doi.org/10.1016/j.ijleo.2022.169615")</f>
        <v>http://dx.doi.org/10.1016/j.ijleo.2022.169615</v>
      </c>
      <c r="O105" t="s">
        <v>856</v>
      </c>
      <c r="P105" t="str">
        <f>HYPERLINK("https%3A%2F%2Fwww.webofscience.com%2Fwos%2Fwoscc%2Ffull-record%2FWOS:000835163200004","View Full Record in Web of Science")</f>
        <v>View Full Record in Web of Science</v>
      </c>
    </row>
    <row r="106" spans="1:16" x14ac:dyDescent="0.25">
      <c r="A106" t="s">
        <v>845</v>
      </c>
      <c r="B106" t="s">
        <v>846</v>
      </c>
      <c r="C106" t="s">
        <v>857</v>
      </c>
      <c r="D106" t="s">
        <v>40</v>
      </c>
      <c r="E106" t="s">
        <v>848</v>
      </c>
      <c r="F106" t="s">
        <v>152</v>
      </c>
      <c r="G106" t="s">
        <v>43</v>
      </c>
      <c r="H106" t="s">
        <v>44</v>
      </c>
      <c r="I106" t="s">
        <v>427</v>
      </c>
      <c r="J106">
        <v>2022</v>
      </c>
      <c r="K106">
        <v>267</v>
      </c>
      <c r="L106" t="s">
        <v>32</v>
      </c>
      <c r="M106" t="s">
        <v>858</v>
      </c>
      <c r="N106" t="str">
        <f>HYPERLINK("http://dx.doi.org/10.1016/j.ijleo.2022.169623","http://dx.doi.org/10.1016/j.ijleo.2022.169623")</f>
        <v>http://dx.doi.org/10.1016/j.ijleo.2022.169623</v>
      </c>
      <c r="O106" t="s">
        <v>859</v>
      </c>
      <c r="P106" t="str">
        <f>HYPERLINK("https%3A%2F%2Fwww.webofscience.com%2Fwos%2Fwoscc%2Ffull-record%2FWOS:000835163200005","View Full Record in Web of Science")</f>
        <v>View Full Record in Web of Science</v>
      </c>
    </row>
    <row r="107" spans="1:16" x14ac:dyDescent="0.25">
      <c r="A107" t="s">
        <v>860</v>
      </c>
      <c r="B107" t="s">
        <v>861</v>
      </c>
      <c r="C107" t="s">
        <v>862</v>
      </c>
      <c r="D107" t="s">
        <v>347</v>
      </c>
      <c r="E107" t="s">
        <v>863</v>
      </c>
      <c r="F107" t="s">
        <v>864</v>
      </c>
      <c r="G107" t="s">
        <v>350</v>
      </c>
      <c r="H107" t="s">
        <v>32</v>
      </c>
      <c r="I107" t="s">
        <v>449</v>
      </c>
      <c r="J107">
        <v>2022</v>
      </c>
      <c r="K107">
        <v>39</v>
      </c>
      <c r="L107" t="s">
        <v>32</v>
      </c>
      <c r="M107" t="s">
        <v>865</v>
      </c>
      <c r="N107" t="str">
        <f>HYPERLINK("http://dx.doi.org/10.1016/j.rinp.2022.105715","http://dx.doi.org/10.1016/j.rinp.2022.105715")</f>
        <v>http://dx.doi.org/10.1016/j.rinp.2022.105715</v>
      </c>
      <c r="O107" t="s">
        <v>866</v>
      </c>
      <c r="P107" t="str">
        <f>HYPERLINK("https%3A%2F%2Fwww.webofscience.com%2Fwos%2Fwoscc%2Ffull-record%2FWOS:000830927700010","View Full Record in Web of Science")</f>
        <v>View Full Record in Web of Science</v>
      </c>
    </row>
    <row r="108" spans="1:16" x14ac:dyDescent="0.25">
      <c r="A108" t="s">
        <v>867</v>
      </c>
      <c r="B108" t="s">
        <v>868</v>
      </c>
      <c r="C108" t="s">
        <v>869</v>
      </c>
      <c r="D108" t="s">
        <v>347</v>
      </c>
      <c r="E108" t="s">
        <v>870</v>
      </c>
      <c r="F108" t="s">
        <v>871</v>
      </c>
      <c r="G108" t="s">
        <v>350</v>
      </c>
      <c r="H108" t="s">
        <v>32</v>
      </c>
      <c r="I108" t="s">
        <v>449</v>
      </c>
      <c r="J108">
        <v>2022</v>
      </c>
      <c r="K108">
        <v>39</v>
      </c>
      <c r="L108" t="s">
        <v>32</v>
      </c>
      <c r="M108" t="s">
        <v>872</v>
      </c>
      <c r="N108" t="str">
        <f>HYPERLINK("http://dx.doi.org/10.1016/j.rinp.2022.105726","http://dx.doi.org/10.1016/j.rinp.2022.105726")</f>
        <v>http://dx.doi.org/10.1016/j.rinp.2022.105726</v>
      </c>
      <c r="O108" t="s">
        <v>873</v>
      </c>
      <c r="P108" t="str">
        <f>HYPERLINK("https%3A%2F%2Fwww.webofscience.com%2Fwos%2Fwoscc%2Ffull-record%2FWOS:000830927700001","View Full Record in Web of Science")</f>
        <v>View Full Record in Web of Science</v>
      </c>
    </row>
    <row r="109" spans="1:16" x14ac:dyDescent="0.25">
      <c r="A109" t="s">
        <v>874</v>
      </c>
      <c r="B109" t="s">
        <v>875</v>
      </c>
      <c r="C109" t="s">
        <v>876</v>
      </c>
      <c r="D109" t="s">
        <v>51</v>
      </c>
      <c r="E109" t="s">
        <v>841</v>
      </c>
      <c r="F109" t="s">
        <v>842</v>
      </c>
      <c r="G109" t="s">
        <v>54</v>
      </c>
      <c r="H109" t="s">
        <v>55</v>
      </c>
      <c r="I109" t="s">
        <v>877</v>
      </c>
      <c r="J109">
        <v>2022</v>
      </c>
      <c r="K109">
        <v>442</v>
      </c>
      <c r="L109" t="s">
        <v>32</v>
      </c>
      <c r="M109" t="s">
        <v>878</v>
      </c>
      <c r="N109" t="str">
        <f>HYPERLINK("http://dx.doi.org/10.1016/j.physleta.2022.128191","http://dx.doi.org/10.1016/j.physleta.2022.128191")</f>
        <v>http://dx.doi.org/10.1016/j.physleta.2022.128191</v>
      </c>
      <c r="O109" t="s">
        <v>879</v>
      </c>
      <c r="P109" t="str">
        <f>HYPERLINK("https%3A%2F%2Fwww.webofscience.com%2Fwos%2Fwoscc%2Ffull-record%2FWOS:000832774500002","View Full Record in Web of Science")</f>
        <v>View Full Record in Web of Science</v>
      </c>
    </row>
    <row r="110" spans="1:16" x14ac:dyDescent="0.25">
      <c r="A110" t="s">
        <v>880</v>
      </c>
      <c r="B110" t="s">
        <v>881</v>
      </c>
      <c r="C110" t="s">
        <v>882</v>
      </c>
      <c r="D110" t="s">
        <v>883</v>
      </c>
      <c r="E110" t="s">
        <v>32</v>
      </c>
      <c r="F110" t="s">
        <v>884</v>
      </c>
      <c r="G110" t="s">
        <v>885</v>
      </c>
      <c r="H110" t="s">
        <v>886</v>
      </c>
      <c r="I110" t="s">
        <v>303</v>
      </c>
      <c r="J110">
        <v>2022</v>
      </c>
      <c r="K110">
        <v>38</v>
      </c>
      <c r="L110">
        <v>9</v>
      </c>
      <c r="M110" t="s">
        <v>887</v>
      </c>
      <c r="N110" t="str">
        <f>HYPERLINK("http://dx.doi.org/10.1080/03007995.2022.2101806","http://dx.doi.org/10.1080/03007995.2022.2101806")</f>
        <v>http://dx.doi.org/10.1080/03007995.2022.2101806</v>
      </c>
      <c r="O110" t="s">
        <v>888</v>
      </c>
      <c r="P110" t="str">
        <f>HYPERLINK("https%3A%2F%2Fwww.webofscience.com%2Fwos%2Fwoscc%2Ffull-record%2FWOS:000832899300001","View Full Record in Web of Science")</f>
        <v>View Full Record in Web of Science</v>
      </c>
    </row>
    <row r="111" spans="1:16" x14ac:dyDescent="0.25">
      <c r="A111" t="s">
        <v>889</v>
      </c>
      <c r="B111" t="s">
        <v>890</v>
      </c>
      <c r="C111" t="s">
        <v>891</v>
      </c>
      <c r="D111" t="s">
        <v>256</v>
      </c>
      <c r="E111" t="s">
        <v>892</v>
      </c>
      <c r="F111" t="s">
        <v>893</v>
      </c>
      <c r="G111" t="s">
        <v>32</v>
      </c>
      <c r="H111" t="s">
        <v>259</v>
      </c>
      <c r="I111" t="s">
        <v>894</v>
      </c>
      <c r="J111">
        <v>2022</v>
      </c>
      <c r="K111">
        <v>27</v>
      </c>
      <c r="L111">
        <v>14</v>
      </c>
      <c r="M111" t="s">
        <v>895</v>
      </c>
      <c r="N111" t="str">
        <f>HYPERLINK("http://dx.doi.org/10.3390/molecules27144419","http://dx.doi.org/10.3390/molecules27144419")</f>
        <v>http://dx.doi.org/10.3390/molecules27144419</v>
      </c>
      <c r="O111" t="s">
        <v>896</v>
      </c>
      <c r="P111" t="str">
        <f>HYPERLINK("https%3A%2F%2Fwww.webofscience.com%2Fwos%2Fwoscc%2Ffull-record%2FWOS:000832531800001","View Full Record in Web of Science")</f>
        <v>View Full Record in Web of Science</v>
      </c>
    </row>
    <row r="112" spans="1:16" x14ac:dyDescent="0.25">
      <c r="A112" t="s">
        <v>897</v>
      </c>
      <c r="B112" t="s">
        <v>898</v>
      </c>
      <c r="C112" t="s">
        <v>899</v>
      </c>
      <c r="D112" t="s">
        <v>465</v>
      </c>
      <c r="E112" t="s">
        <v>900</v>
      </c>
      <c r="F112" t="s">
        <v>901</v>
      </c>
      <c r="G112" t="s">
        <v>468</v>
      </c>
      <c r="H112" t="s">
        <v>469</v>
      </c>
      <c r="I112" t="s">
        <v>902</v>
      </c>
      <c r="J112">
        <v>2022</v>
      </c>
      <c r="K112">
        <v>97</v>
      </c>
      <c r="L112">
        <v>8</v>
      </c>
      <c r="M112" t="s">
        <v>903</v>
      </c>
      <c r="N112" t="str">
        <f>HYPERLINK("http://dx.doi.org/10.1088/1402-4896/ac8185","http://dx.doi.org/10.1088/1402-4896/ac8185")</f>
        <v>http://dx.doi.org/10.1088/1402-4896/ac8185</v>
      </c>
      <c r="O112" t="s">
        <v>904</v>
      </c>
      <c r="P112" t="str">
        <f>HYPERLINK("https%3A%2F%2Fwww.webofscience.com%2Fwos%2Fwoscc%2Ffull-record%2FWOS:000830785300001","View Full Record in Web of Science")</f>
        <v>View Full Record in Web of Science</v>
      </c>
    </row>
    <row r="113" spans="1:16" x14ac:dyDescent="0.25">
      <c r="A113" t="s">
        <v>905</v>
      </c>
      <c r="B113" t="s">
        <v>906</v>
      </c>
      <c r="C113" t="s">
        <v>907</v>
      </c>
      <c r="D113" t="s">
        <v>908</v>
      </c>
      <c r="E113" t="s">
        <v>909</v>
      </c>
      <c r="F113" t="s">
        <v>910</v>
      </c>
      <c r="G113" t="s">
        <v>911</v>
      </c>
      <c r="H113" t="s">
        <v>912</v>
      </c>
      <c r="I113" t="s">
        <v>913</v>
      </c>
      <c r="J113">
        <v>2022</v>
      </c>
      <c r="K113">
        <v>2022</v>
      </c>
      <c r="L113" t="s">
        <v>32</v>
      </c>
      <c r="M113" t="s">
        <v>914</v>
      </c>
      <c r="N113" t="str">
        <f>HYPERLINK("http://dx.doi.org/10.1155/2022/9683187","http://dx.doi.org/10.1155/2022/9683187")</f>
        <v>http://dx.doi.org/10.1155/2022/9683187</v>
      </c>
      <c r="O113" t="s">
        <v>915</v>
      </c>
      <c r="P113" t="str">
        <f>HYPERLINK("https%3A%2F%2Fwww.webofscience.com%2Fwos%2Fwoscc%2Ffull-record%2FWOS:000830997600003","View Full Record in Web of Science")</f>
        <v>View Full Record in Web of Science</v>
      </c>
    </row>
    <row r="114" spans="1:16" x14ac:dyDescent="0.25">
      <c r="A114" t="s">
        <v>916</v>
      </c>
      <c r="B114" t="s">
        <v>917</v>
      </c>
      <c r="C114" t="s">
        <v>918</v>
      </c>
      <c r="D114" t="s">
        <v>410</v>
      </c>
      <c r="E114" t="s">
        <v>919</v>
      </c>
      <c r="F114" t="s">
        <v>920</v>
      </c>
      <c r="G114" t="s">
        <v>413</v>
      </c>
      <c r="H114" t="s">
        <v>414</v>
      </c>
      <c r="I114" t="s">
        <v>45</v>
      </c>
      <c r="J114">
        <v>2022</v>
      </c>
      <c r="K114">
        <v>54</v>
      </c>
      <c r="L114">
        <v>9</v>
      </c>
      <c r="M114" t="s">
        <v>921</v>
      </c>
      <c r="N114" t="str">
        <f>HYPERLINK("http://dx.doi.org/10.1007/s11082-022-03938-8","http://dx.doi.org/10.1007/s11082-022-03938-8")</f>
        <v>http://dx.doi.org/10.1007/s11082-022-03938-8</v>
      </c>
      <c r="O114" t="s">
        <v>922</v>
      </c>
      <c r="P114" t="str">
        <f>HYPERLINK("https%3A%2F%2Fwww.webofscience.com%2Fwos%2Fwoscc%2Ffull-record%2FWOS:000830731300002","View Full Record in Web of Science")</f>
        <v>View Full Record in Web of Science</v>
      </c>
    </row>
    <row r="115" spans="1:16" x14ac:dyDescent="0.25">
      <c r="A115" t="s">
        <v>923</v>
      </c>
      <c r="B115" t="s">
        <v>924</v>
      </c>
      <c r="C115" t="s">
        <v>925</v>
      </c>
      <c r="D115" t="s">
        <v>410</v>
      </c>
      <c r="E115" t="s">
        <v>213</v>
      </c>
      <c r="F115" t="s">
        <v>53</v>
      </c>
      <c r="G115" t="s">
        <v>413</v>
      </c>
      <c r="H115" t="s">
        <v>414</v>
      </c>
      <c r="I115" t="s">
        <v>45</v>
      </c>
      <c r="J115">
        <v>2022</v>
      </c>
      <c r="K115">
        <v>54</v>
      </c>
      <c r="L115">
        <v>9</v>
      </c>
      <c r="M115" t="s">
        <v>926</v>
      </c>
      <c r="N115" t="str">
        <f>HYPERLINK("http://dx.doi.org/10.1007/s11082-022-03933-z","http://dx.doi.org/10.1007/s11082-022-03933-z")</f>
        <v>http://dx.doi.org/10.1007/s11082-022-03933-z</v>
      </c>
      <c r="O115" t="s">
        <v>927</v>
      </c>
      <c r="P115" t="str">
        <f>HYPERLINK("https%3A%2F%2Fwww.webofscience.com%2Fwos%2Fwoscc%2Ffull-record%2FWOS:000830731300006","View Full Record in Web of Science")</f>
        <v>View Full Record in Web of Science</v>
      </c>
    </row>
    <row r="116" spans="1:16" x14ac:dyDescent="0.25">
      <c r="A116" t="s">
        <v>490</v>
      </c>
      <c r="B116" t="s">
        <v>491</v>
      </c>
      <c r="C116" t="s">
        <v>928</v>
      </c>
      <c r="D116" t="s">
        <v>40</v>
      </c>
      <c r="E116" t="s">
        <v>378</v>
      </c>
      <c r="F116" t="s">
        <v>379</v>
      </c>
      <c r="G116" t="s">
        <v>43</v>
      </c>
      <c r="H116" t="s">
        <v>44</v>
      </c>
      <c r="I116" t="s">
        <v>45</v>
      </c>
      <c r="J116">
        <v>2022</v>
      </c>
      <c r="K116">
        <v>265</v>
      </c>
      <c r="L116" t="s">
        <v>32</v>
      </c>
      <c r="M116" t="s">
        <v>929</v>
      </c>
      <c r="N116" t="str">
        <f>HYPERLINK("http://dx.doi.org/10.1016/j.ijleo.2022.169547","http://dx.doi.org/10.1016/j.ijleo.2022.169547")</f>
        <v>http://dx.doi.org/10.1016/j.ijleo.2022.169547</v>
      </c>
      <c r="O116" t="s">
        <v>930</v>
      </c>
      <c r="P116" t="str">
        <f>HYPERLINK("https%3A%2F%2Fwww.webofscience.com%2Fwos%2Fwoscc%2Ffull-record%2FWOS:000830288700006","View Full Record in Web of Science")</f>
        <v>View Full Record in Web of Science</v>
      </c>
    </row>
    <row r="117" spans="1:16" x14ac:dyDescent="0.25">
      <c r="A117" t="s">
        <v>218</v>
      </c>
      <c r="B117" t="s">
        <v>219</v>
      </c>
      <c r="C117" t="s">
        <v>931</v>
      </c>
      <c r="D117" t="s">
        <v>40</v>
      </c>
      <c r="E117" t="s">
        <v>932</v>
      </c>
      <c r="F117" t="s">
        <v>223</v>
      </c>
      <c r="G117" t="s">
        <v>43</v>
      </c>
      <c r="H117" t="s">
        <v>44</v>
      </c>
      <c r="I117" t="s">
        <v>45</v>
      </c>
      <c r="J117">
        <v>2022</v>
      </c>
      <c r="K117">
        <v>265</v>
      </c>
      <c r="L117" t="s">
        <v>32</v>
      </c>
      <c r="M117" t="s">
        <v>933</v>
      </c>
      <c r="N117" t="str">
        <f>HYPERLINK("http://dx.doi.org/10.1016/j.ijleo.2022.169545","http://dx.doi.org/10.1016/j.ijleo.2022.169545")</f>
        <v>http://dx.doi.org/10.1016/j.ijleo.2022.169545</v>
      </c>
      <c r="O117" t="s">
        <v>934</v>
      </c>
      <c r="P117" t="str">
        <f>HYPERLINK("https%3A%2F%2Fwww.webofscience.com%2Fwos%2Fwoscc%2Ffull-record%2FWOS:000827268500009","View Full Record in Web of Science")</f>
        <v>View Full Record in Web of Science</v>
      </c>
    </row>
    <row r="118" spans="1:16" x14ac:dyDescent="0.25">
      <c r="A118" t="s">
        <v>935</v>
      </c>
      <c r="B118" t="s">
        <v>936</v>
      </c>
      <c r="C118" t="s">
        <v>937</v>
      </c>
      <c r="D118" t="s">
        <v>938</v>
      </c>
      <c r="E118" t="s">
        <v>32</v>
      </c>
      <c r="F118" t="s">
        <v>939</v>
      </c>
      <c r="G118" t="s">
        <v>32</v>
      </c>
      <c r="H118" t="s">
        <v>940</v>
      </c>
      <c r="I118" t="s">
        <v>894</v>
      </c>
      <c r="J118">
        <v>2022</v>
      </c>
      <c r="K118">
        <v>22</v>
      </c>
      <c r="L118">
        <v>13</v>
      </c>
      <c r="M118" t="s">
        <v>941</v>
      </c>
      <c r="N118" t="str">
        <f>HYPERLINK("http://dx.doi.org/10.3390/s22134740","http://dx.doi.org/10.3390/s22134740")</f>
        <v>http://dx.doi.org/10.3390/s22134740</v>
      </c>
      <c r="O118" t="s">
        <v>942</v>
      </c>
      <c r="P118" t="str">
        <f>HYPERLINK("https%3A%2F%2Fwww.webofscience.com%2Fwos%2Fwoscc%2Ffull-record%2FWOS:000824079100001","View Full Record in Web of Science")</f>
        <v>View Full Record in Web of Science</v>
      </c>
    </row>
    <row r="119" spans="1:16" x14ac:dyDescent="0.25">
      <c r="A119" t="s">
        <v>943</v>
      </c>
      <c r="B119" t="s">
        <v>944</v>
      </c>
      <c r="C119" t="s">
        <v>945</v>
      </c>
      <c r="D119" t="s">
        <v>40</v>
      </c>
      <c r="E119" t="s">
        <v>946</v>
      </c>
      <c r="F119" t="s">
        <v>947</v>
      </c>
      <c r="G119" t="s">
        <v>43</v>
      </c>
      <c r="H119" t="s">
        <v>44</v>
      </c>
      <c r="I119" t="s">
        <v>894</v>
      </c>
      <c r="J119">
        <v>2022</v>
      </c>
      <c r="K119">
        <v>262</v>
      </c>
      <c r="L119" t="s">
        <v>32</v>
      </c>
      <c r="M119" t="s">
        <v>948</v>
      </c>
      <c r="N119" t="str">
        <f>HYPERLINK("http://dx.doi.org/10.1016/j.ijleo.2022.169294","http://dx.doi.org/10.1016/j.ijleo.2022.169294")</f>
        <v>http://dx.doi.org/10.1016/j.ijleo.2022.169294</v>
      </c>
      <c r="O119" t="s">
        <v>949</v>
      </c>
      <c r="P119" t="str">
        <f>HYPERLINK("https%3A%2F%2Fwww.webofscience.com%2Fwos%2Fwoscc%2Ffull-record%2FWOS:000823844800003","View Full Record in Web of Science")</f>
        <v>View Full Record in Web of Science</v>
      </c>
    </row>
    <row r="120" spans="1:16" x14ac:dyDescent="0.25">
      <c r="A120" t="s">
        <v>950</v>
      </c>
      <c r="B120" t="s">
        <v>951</v>
      </c>
      <c r="C120" t="s">
        <v>952</v>
      </c>
      <c r="D120" t="s">
        <v>953</v>
      </c>
      <c r="E120" t="s">
        <v>954</v>
      </c>
      <c r="F120" t="s">
        <v>955</v>
      </c>
      <c r="G120" t="s">
        <v>956</v>
      </c>
      <c r="H120" t="s">
        <v>957</v>
      </c>
      <c r="I120" t="s">
        <v>958</v>
      </c>
      <c r="J120">
        <v>2022</v>
      </c>
      <c r="K120">
        <v>427</v>
      </c>
      <c r="L120" t="s">
        <v>32</v>
      </c>
      <c r="M120" t="s">
        <v>959</v>
      </c>
      <c r="N120" t="str">
        <f>HYPERLINK("http://dx.doi.org/10.1016/j.amc.2022.127171","http://dx.doi.org/10.1016/j.amc.2022.127171")</f>
        <v>http://dx.doi.org/10.1016/j.amc.2022.127171</v>
      </c>
      <c r="O120" t="s">
        <v>960</v>
      </c>
      <c r="P120" t="str">
        <f>HYPERLINK("https%3A%2F%2Fwww.webofscience.com%2Fwos%2Fwoscc%2Ffull-record%2FWOS:000821677600018","View Full Record in Web of Science")</f>
        <v>View Full Record in Web of Science</v>
      </c>
    </row>
    <row r="121" spans="1:16" x14ac:dyDescent="0.25">
      <c r="A121" t="s">
        <v>591</v>
      </c>
      <c r="B121" t="s">
        <v>592</v>
      </c>
      <c r="C121" t="s">
        <v>961</v>
      </c>
      <c r="D121" t="s">
        <v>40</v>
      </c>
      <c r="E121" t="s">
        <v>962</v>
      </c>
      <c r="F121" t="s">
        <v>963</v>
      </c>
      <c r="G121" t="s">
        <v>43</v>
      </c>
      <c r="H121" t="s">
        <v>44</v>
      </c>
      <c r="I121" t="s">
        <v>964</v>
      </c>
      <c r="J121">
        <v>2022</v>
      </c>
      <c r="K121">
        <v>257</v>
      </c>
      <c r="L121" t="s">
        <v>32</v>
      </c>
      <c r="M121" t="s">
        <v>965</v>
      </c>
      <c r="N121" t="str">
        <f>HYPERLINK("http://dx.doi.org/10.1016/j.ijleo.2022.168761","http://dx.doi.org/10.1016/j.ijleo.2022.168761")</f>
        <v>http://dx.doi.org/10.1016/j.ijleo.2022.168761</v>
      </c>
      <c r="O121" t="s">
        <v>966</v>
      </c>
      <c r="P121" t="str">
        <f>HYPERLINK("https%3A%2F%2Fwww.webofscience.com%2Fwos%2Fwoscc%2Ffull-record%2FWOS:000820255100014","View Full Record in Web of Science")</f>
        <v>View Full Record in Web of Science</v>
      </c>
    </row>
    <row r="122" spans="1:16" x14ac:dyDescent="0.25">
      <c r="A122" t="s">
        <v>967</v>
      </c>
      <c r="B122" t="s">
        <v>968</v>
      </c>
      <c r="C122" t="s">
        <v>969</v>
      </c>
      <c r="D122" t="s">
        <v>410</v>
      </c>
      <c r="E122" t="s">
        <v>970</v>
      </c>
      <c r="F122" t="s">
        <v>971</v>
      </c>
      <c r="G122" t="s">
        <v>413</v>
      </c>
      <c r="H122" t="s">
        <v>414</v>
      </c>
      <c r="I122" t="s">
        <v>449</v>
      </c>
      <c r="J122">
        <v>2022</v>
      </c>
      <c r="K122">
        <v>54</v>
      </c>
      <c r="L122">
        <v>8</v>
      </c>
      <c r="M122" t="s">
        <v>972</v>
      </c>
      <c r="N122" t="str">
        <f>HYPERLINK("http://dx.doi.org/10.1007/s11082-022-03923-1","http://dx.doi.org/10.1007/s11082-022-03923-1")</f>
        <v>http://dx.doi.org/10.1007/s11082-022-03923-1</v>
      </c>
      <c r="O122" t="s">
        <v>973</v>
      </c>
      <c r="P122" t="str">
        <f>HYPERLINK("https%3A%2F%2Fwww.webofscience.com%2Fwos%2Fwoscc%2Ffull-record%2FWOS:000821009000006","View Full Record in Web of Science")</f>
        <v>View Full Record in Web of Science</v>
      </c>
    </row>
    <row r="123" spans="1:16" x14ac:dyDescent="0.25">
      <c r="A123" t="s">
        <v>974</v>
      </c>
      <c r="B123" t="s">
        <v>975</v>
      </c>
      <c r="C123" t="s">
        <v>976</v>
      </c>
      <c r="D123" t="s">
        <v>410</v>
      </c>
      <c r="E123" t="s">
        <v>977</v>
      </c>
      <c r="F123" t="s">
        <v>978</v>
      </c>
      <c r="G123" t="s">
        <v>413</v>
      </c>
      <c r="H123" t="s">
        <v>414</v>
      </c>
      <c r="I123" t="s">
        <v>449</v>
      </c>
      <c r="J123">
        <v>2022</v>
      </c>
      <c r="K123">
        <v>54</v>
      </c>
      <c r="L123">
        <v>8</v>
      </c>
      <c r="M123" t="s">
        <v>979</v>
      </c>
      <c r="N123" t="str">
        <f>HYPERLINK("http://dx.doi.org/10.1007/s11082-022-03801-w","http://dx.doi.org/10.1007/s11082-022-03801-w")</f>
        <v>http://dx.doi.org/10.1007/s11082-022-03801-w</v>
      </c>
      <c r="O123" t="s">
        <v>980</v>
      </c>
      <c r="P123" t="str">
        <f>HYPERLINK("https%3A%2F%2Fwww.webofscience.com%2Fwos%2Fwoscc%2Ffull-record%2FWOS:000821009000004","View Full Record in Web of Science")</f>
        <v>View Full Record in Web of Science</v>
      </c>
    </row>
    <row r="124" spans="1:16" x14ac:dyDescent="0.25">
      <c r="A124" t="s">
        <v>981</v>
      </c>
      <c r="B124" t="s">
        <v>982</v>
      </c>
      <c r="C124" t="s">
        <v>983</v>
      </c>
      <c r="D124" t="s">
        <v>455</v>
      </c>
      <c r="E124" t="s">
        <v>213</v>
      </c>
      <c r="F124" t="s">
        <v>53</v>
      </c>
      <c r="G124" t="s">
        <v>458</v>
      </c>
      <c r="H124" t="s">
        <v>32</v>
      </c>
      <c r="I124" t="s">
        <v>984</v>
      </c>
      <c r="J124">
        <v>2022</v>
      </c>
      <c r="K124">
        <v>137</v>
      </c>
      <c r="L124">
        <v>6</v>
      </c>
      <c r="M124" t="s">
        <v>985</v>
      </c>
      <c r="N124" t="str">
        <f>HYPERLINK("http://dx.doi.org/10.1140/epjp/s13360-022-02969-0","http://dx.doi.org/10.1140/epjp/s13360-022-02969-0")</f>
        <v>http://dx.doi.org/10.1140/epjp/s13360-022-02969-0</v>
      </c>
      <c r="O124" t="s">
        <v>986</v>
      </c>
      <c r="P124" t="str">
        <f>HYPERLINK("https%3A%2F%2Fwww.webofscience.com%2Fwos%2Fwoscc%2Ffull-record%2FWOS:000820059700001","View Full Record in Web of Science")</f>
        <v>View Full Record in Web of Science</v>
      </c>
    </row>
    <row r="125" spans="1:16" x14ac:dyDescent="0.25">
      <c r="A125" t="s">
        <v>987</v>
      </c>
      <c r="B125" t="s">
        <v>988</v>
      </c>
      <c r="C125" t="s">
        <v>989</v>
      </c>
      <c r="D125" t="s">
        <v>399</v>
      </c>
      <c r="E125" t="s">
        <v>990</v>
      </c>
      <c r="F125" t="s">
        <v>991</v>
      </c>
      <c r="G125" t="s">
        <v>402</v>
      </c>
      <c r="H125" t="s">
        <v>403</v>
      </c>
      <c r="I125" t="s">
        <v>449</v>
      </c>
      <c r="J125">
        <v>2022</v>
      </c>
      <c r="K125">
        <v>87</v>
      </c>
      <c r="L125" t="s">
        <v>32</v>
      </c>
      <c r="M125" t="s">
        <v>992</v>
      </c>
      <c r="N125" t="str">
        <f>HYPERLINK("http://dx.doi.org/10.1016/j.cimid.2022.101850","http://dx.doi.org/10.1016/j.cimid.2022.101850")</f>
        <v>http://dx.doi.org/10.1016/j.cimid.2022.101850</v>
      </c>
      <c r="O125" t="s">
        <v>993</v>
      </c>
      <c r="P125" t="str">
        <f>HYPERLINK("https%3A%2F%2Fwww.webofscience.com%2Fwos%2Fwoscc%2Ffull-record%2FWOS:000818516500007","View Full Record in Web of Science")</f>
        <v>View Full Record in Web of Science</v>
      </c>
    </row>
    <row r="126" spans="1:16" x14ac:dyDescent="0.25">
      <c r="A126" t="s">
        <v>994</v>
      </c>
      <c r="B126" t="s">
        <v>995</v>
      </c>
      <c r="C126" t="s">
        <v>996</v>
      </c>
      <c r="D126" t="s">
        <v>410</v>
      </c>
      <c r="E126" t="s">
        <v>32</v>
      </c>
      <c r="F126" t="s">
        <v>997</v>
      </c>
      <c r="G126" t="s">
        <v>413</v>
      </c>
      <c r="H126" t="s">
        <v>414</v>
      </c>
      <c r="I126" t="s">
        <v>449</v>
      </c>
      <c r="J126">
        <v>2022</v>
      </c>
      <c r="K126">
        <v>54</v>
      </c>
      <c r="L126">
        <v>8</v>
      </c>
      <c r="M126" t="s">
        <v>998</v>
      </c>
      <c r="N126" t="str">
        <f>HYPERLINK("http://dx.doi.org/10.1007/s11082-022-03859-6","http://dx.doi.org/10.1007/s11082-022-03859-6")</f>
        <v>http://dx.doi.org/10.1007/s11082-022-03859-6</v>
      </c>
      <c r="O126" t="s">
        <v>999</v>
      </c>
      <c r="P126" t="str">
        <f>HYPERLINK("https%3A%2F%2Fwww.webofscience.com%2Fwos%2Fwoscc%2Ffull-record%2FWOS:000818809700005","View Full Record in Web of Science")</f>
        <v>View Full Record in Web of Science</v>
      </c>
    </row>
    <row r="127" spans="1:16" x14ac:dyDescent="0.25">
      <c r="A127" t="s">
        <v>1000</v>
      </c>
      <c r="B127" t="s">
        <v>1001</v>
      </c>
      <c r="C127" t="s">
        <v>1002</v>
      </c>
      <c r="D127" t="s">
        <v>1003</v>
      </c>
      <c r="E127" t="s">
        <v>1004</v>
      </c>
      <c r="F127" t="s">
        <v>1005</v>
      </c>
      <c r="G127" t="s">
        <v>1006</v>
      </c>
      <c r="H127" t="s">
        <v>1007</v>
      </c>
      <c r="I127" t="s">
        <v>449</v>
      </c>
      <c r="J127">
        <v>2022</v>
      </c>
      <c r="K127">
        <v>178</v>
      </c>
      <c r="L127" t="s">
        <v>32</v>
      </c>
      <c r="M127" t="s">
        <v>1008</v>
      </c>
      <c r="N127" t="str">
        <f>HYPERLINK("http://dx.doi.org/10.1016/j.geomphys.2022.104546","http://dx.doi.org/10.1016/j.geomphys.2022.104546")</f>
        <v>http://dx.doi.org/10.1016/j.geomphys.2022.104546</v>
      </c>
      <c r="O127" t="s">
        <v>1009</v>
      </c>
      <c r="P127" t="str">
        <f>HYPERLINK("https%3A%2F%2Fwww.webofscience.com%2Fwos%2Fwoscc%2Ffull-record%2FWOS:000810716400009","View Full Record in Web of Science")</f>
        <v>View Full Record in Web of Science</v>
      </c>
    </row>
    <row r="128" spans="1:16" x14ac:dyDescent="0.25">
      <c r="A128" t="s">
        <v>1010</v>
      </c>
      <c r="B128" t="s">
        <v>1011</v>
      </c>
      <c r="C128" t="s">
        <v>1012</v>
      </c>
      <c r="D128" t="s">
        <v>831</v>
      </c>
      <c r="E128" t="s">
        <v>1013</v>
      </c>
      <c r="F128" t="s">
        <v>1014</v>
      </c>
      <c r="G128" t="s">
        <v>834</v>
      </c>
      <c r="H128" t="s">
        <v>835</v>
      </c>
      <c r="I128" t="s">
        <v>83</v>
      </c>
      <c r="J128">
        <v>2022</v>
      </c>
      <c r="K128">
        <v>61</v>
      </c>
      <c r="L128">
        <v>12</v>
      </c>
      <c r="M128" t="s">
        <v>1015</v>
      </c>
      <c r="N128" t="str">
        <f>HYPERLINK("http://dx.doi.org/10.1016/j.aej.2022.05.003","http://dx.doi.org/10.1016/j.aej.2022.05.003")</f>
        <v>http://dx.doi.org/10.1016/j.aej.2022.05.003</v>
      </c>
      <c r="O128" t="s">
        <v>1016</v>
      </c>
      <c r="P128" t="str">
        <f>HYPERLINK("https%3A%2F%2Fwww.webofscience.com%2Fwos%2Fwoscc%2Ffull-record%2FWOS:000813317000002","View Full Record in Web of Science")</f>
        <v>View Full Record in Web of Science</v>
      </c>
    </row>
    <row r="129" spans="1:16" x14ac:dyDescent="0.25">
      <c r="A129" t="s">
        <v>1017</v>
      </c>
      <c r="B129" t="s">
        <v>1018</v>
      </c>
      <c r="C129" t="s">
        <v>1019</v>
      </c>
      <c r="D129" t="s">
        <v>1003</v>
      </c>
      <c r="E129" t="s">
        <v>1020</v>
      </c>
      <c r="F129" t="s">
        <v>1021</v>
      </c>
      <c r="G129" t="s">
        <v>1006</v>
      </c>
      <c r="H129" t="s">
        <v>1007</v>
      </c>
      <c r="I129" t="s">
        <v>449</v>
      </c>
      <c r="J129">
        <v>2022</v>
      </c>
      <c r="K129">
        <v>178</v>
      </c>
      <c r="L129" t="s">
        <v>32</v>
      </c>
      <c r="M129" t="s">
        <v>1022</v>
      </c>
      <c r="N129" t="str">
        <f>HYPERLINK("http://dx.doi.org/10.1016/j.geomphys.2022.104556","http://dx.doi.org/10.1016/j.geomphys.2022.104556")</f>
        <v>http://dx.doi.org/10.1016/j.geomphys.2022.104556</v>
      </c>
      <c r="O129" t="s">
        <v>1023</v>
      </c>
      <c r="P129" t="str">
        <f>HYPERLINK("https%3A%2F%2Fwww.webofscience.com%2Fwos%2Fwoscc%2Ffull-record%2FWOS:000806873000009","View Full Record in Web of Science")</f>
        <v>View Full Record in Web of Science</v>
      </c>
    </row>
    <row r="130" spans="1:16" x14ac:dyDescent="0.25">
      <c r="A130" t="s">
        <v>1024</v>
      </c>
      <c r="B130" t="s">
        <v>1025</v>
      </c>
      <c r="C130" t="s">
        <v>1026</v>
      </c>
      <c r="D130" t="s">
        <v>191</v>
      </c>
      <c r="E130" t="s">
        <v>1027</v>
      </c>
      <c r="F130" t="s">
        <v>1028</v>
      </c>
      <c r="G130" t="s">
        <v>194</v>
      </c>
      <c r="H130" t="s">
        <v>195</v>
      </c>
      <c r="I130" t="s">
        <v>913</v>
      </c>
      <c r="J130">
        <v>2022</v>
      </c>
      <c r="K130">
        <v>36</v>
      </c>
      <c r="L130">
        <v>14</v>
      </c>
      <c r="M130" t="s">
        <v>1029</v>
      </c>
      <c r="N130" t="str">
        <f>HYPERLINK("http://dx.doi.org/10.1142/S0217984922500713","http://dx.doi.org/10.1142/S0217984922500713")</f>
        <v>http://dx.doi.org/10.1142/S0217984922500713</v>
      </c>
      <c r="O130" t="s">
        <v>1030</v>
      </c>
      <c r="P130" t="str">
        <f>HYPERLINK("https%3A%2F%2Fwww.webofscience.com%2Fwos%2Fwoscc%2Ffull-record%2FWOS:000814044600012","View Full Record in Web of Science")</f>
        <v>View Full Record in Web of Science</v>
      </c>
    </row>
    <row r="131" spans="1:16" x14ac:dyDescent="0.25">
      <c r="A131" t="s">
        <v>1031</v>
      </c>
      <c r="B131" t="s">
        <v>1032</v>
      </c>
      <c r="C131" t="s">
        <v>1033</v>
      </c>
      <c r="D131" t="s">
        <v>1034</v>
      </c>
      <c r="E131" t="s">
        <v>1035</v>
      </c>
      <c r="F131" t="s">
        <v>1036</v>
      </c>
      <c r="G131" t="s">
        <v>1037</v>
      </c>
      <c r="H131" t="s">
        <v>32</v>
      </c>
      <c r="I131" t="s">
        <v>162</v>
      </c>
      <c r="J131">
        <v>2022</v>
      </c>
      <c r="K131">
        <v>16</v>
      </c>
      <c r="L131">
        <v>1</v>
      </c>
      <c r="M131" t="s">
        <v>1038</v>
      </c>
      <c r="N131" t="str">
        <f>HYPERLINK("http://dx.doi.org/10.1080/16583655.2022.2089396","http://dx.doi.org/10.1080/16583655.2022.2089396")</f>
        <v>http://dx.doi.org/10.1080/16583655.2022.2089396</v>
      </c>
      <c r="O131" t="s">
        <v>1039</v>
      </c>
      <c r="P131" t="str">
        <f>HYPERLINK("https%3A%2F%2Fwww.webofscience.com%2Fwos%2Fwoscc%2Ffull-record%2FWOS:000812795000001","View Full Record in Web of Science")</f>
        <v>View Full Record in Web of Science</v>
      </c>
    </row>
    <row r="132" spans="1:16" x14ac:dyDescent="0.25">
      <c r="A132" t="s">
        <v>1040</v>
      </c>
      <c r="B132" t="s">
        <v>1041</v>
      </c>
      <c r="C132" t="s">
        <v>1042</v>
      </c>
      <c r="D132" t="s">
        <v>1043</v>
      </c>
      <c r="E132" t="s">
        <v>213</v>
      </c>
      <c r="F132" t="s">
        <v>53</v>
      </c>
      <c r="G132" t="s">
        <v>1044</v>
      </c>
      <c r="H132" t="s">
        <v>1045</v>
      </c>
      <c r="I132" t="s">
        <v>894</v>
      </c>
      <c r="J132">
        <v>2022</v>
      </c>
      <c r="K132">
        <v>19</v>
      </c>
      <c r="L132">
        <v>8</v>
      </c>
      <c r="M132" t="s">
        <v>1046</v>
      </c>
      <c r="N132" t="str">
        <f>HYPERLINK("http://dx.doi.org/10.1142/S0219887822501225","http://dx.doi.org/10.1142/S0219887822501225")</f>
        <v>http://dx.doi.org/10.1142/S0219887822501225</v>
      </c>
      <c r="O132" t="s">
        <v>1047</v>
      </c>
      <c r="P132" t="str">
        <f>HYPERLINK("https%3A%2F%2Fwww.webofscience.com%2Fwos%2Fwoscc%2Ffull-record%2FWOS:000812255500014","View Full Record in Web of Science")</f>
        <v>View Full Record in Web of Science</v>
      </c>
    </row>
    <row r="133" spans="1:16" x14ac:dyDescent="0.25">
      <c r="A133" t="s">
        <v>1048</v>
      </c>
      <c r="B133" t="s">
        <v>1049</v>
      </c>
      <c r="C133" t="s">
        <v>1050</v>
      </c>
      <c r="D133" t="s">
        <v>347</v>
      </c>
      <c r="E133" t="s">
        <v>1051</v>
      </c>
      <c r="F133" t="s">
        <v>1052</v>
      </c>
      <c r="G133" t="s">
        <v>350</v>
      </c>
      <c r="H133" t="s">
        <v>32</v>
      </c>
      <c r="I133" t="s">
        <v>894</v>
      </c>
      <c r="J133">
        <v>2022</v>
      </c>
      <c r="K133">
        <v>38</v>
      </c>
      <c r="L133" t="s">
        <v>32</v>
      </c>
      <c r="M133" t="s">
        <v>1053</v>
      </c>
      <c r="N133" t="str">
        <f>HYPERLINK("http://dx.doi.org/10.1016/j.rinp.2022.105653","http://dx.doi.org/10.1016/j.rinp.2022.105653")</f>
        <v>http://dx.doi.org/10.1016/j.rinp.2022.105653</v>
      </c>
      <c r="O133" t="s">
        <v>1054</v>
      </c>
      <c r="P133" t="str">
        <f>HYPERLINK("https%3A%2F%2Fwww.webofscience.com%2Fwos%2Fwoscc%2Ffull-record%2FWOS:000810541800007","View Full Record in Web of Science")</f>
        <v>View Full Record in Web of Science</v>
      </c>
    </row>
    <row r="134" spans="1:16" x14ac:dyDescent="0.25">
      <c r="A134" t="s">
        <v>1055</v>
      </c>
      <c r="B134" t="s">
        <v>1056</v>
      </c>
      <c r="C134" t="s">
        <v>1057</v>
      </c>
      <c r="D134" t="s">
        <v>1003</v>
      </c>
      <c r="E134" t="s">
        <v>1058</v>
      </c>
      <c r="F134" t="s">
        <v>1059</v>
      </c>
      <c r="G134" t="s">
        <v>1006</v>
      </c>
      <c r="H134" t="s">
        <v>1007</v>
      </c>
      <c r="I134" t="s">
        <v>93</v>
      </c>
      <c r="J134">
        <v>2022</v>
      </c>
      <c r="K134">
        <v>176</v>
      </c>
      <c r="L134" t="s">
        <v>32</v>
      </c>
      <c r="M134" t="s">
        <v>1060</v>
      </c>
      <c r="N134" t="str">
        <f>HYPERLINK("http://dx.doi.org/10.1016/j.geomphys.2022.104512","http://dx.doi.org/10.1016/j.geomphys.2022.104512")</f>
        <v>http://dx.doi.org/10.1016/j.geomphys.2022.104512</v>
      </c>
      <c r="O134" t="s">
        <v>1061</v>
      </c>
      <c r="P134" t="str">
        <f>HYPERLINK("https%3A%2F%2Fwww.webofscience.com%2Fwos%2Fwoscc%2Ffull-record%2FWOS:000794865700014","View Full Record in Web of Science")</f>
        <v>View Full Record in Web of Science</v>
      </c>
    </row>
    <row r="135" spans="1:16" x14ac:dyDescent="0.25">
      <c r="A135" t="s">
        <v>1062</v>
      </c>
      <c r="B135" t="s">
        <v>1063</v>
      </c>
      <c r="C135" t="s">
        <v>1064</v>
      </c>
      <c r="D135" t="s">
        <v>831</v>
      </c>
      <c r="E135" t="s">
        <v>1065</v>
      </c>
      <c r="F135" t="s">
        <v>1066</v>
      </c>
      <c r="G135" t="s">
        <v>834</v>
      </c>
      <c r="H135" t="s">
        <v>835</v>
      </c>
      <c r="I135" t="s">
        <v>170</v>
      </c>
      <c r="J135">
        <v>2022</v>
      </c>
      <c r="K135">
        <v>61</v>
      </c>
      <c r="L135">
        <v>11</v>
      </c>
      <c r="M135" t="s">
        <v>1067</v>
      </c>
      <c r="N135" t="str">
        <f>HYPERLINK("http://dx.doi.org/10.1016/j.aej.2022.02.013","http://dx.doi.org/10.1016/j.aej.2022.02.013")</f>
        <v>http://dx.doi.org/10.1016/j.aej.2022.02.013</v>
      </c>
      <c r="O135" t="s">
        <v>1068</v>
      </c>
      <c r="P135" t="str">
        <f>HYPERLINK("https%3A%2F%2Fwww.webofscience.com%2Fwos%2Fwoscc%2Ffull-record%2FWOS:000806224800003","View Full Record in Web of Science")</f>
        <v>View Full Record in Web of Science</v>
      </c>
    </row>
    <row r="136" spans="1:16" x14ac:dyDescent="0.25">
      <c r="A136" t="s">
        <v>1069</v>
      </c>
      <c r="B136" t="s">
        <v>1070</v>
      </c>
      <c r="C136" t="s">
        <v>1071</v>
      </c>
      <c r="D136" t="s">
        <v>329</v>
      </c>
      <c r="E136" t="s">
        <v>1072</v>
      </c>
      <c r="F136" t="s">
        <v>1073</v>
      </c>
      <c r="G136" t="s">
        <v>332</v>
      </c>
      <c r="H136" t="s">
        <v>333</v>
      </c>
      <c r="I136" t="s">
        <v>32</v>
      </c>
      <c r="J136">
        <v>2022</v>
      </c>
      <c r="K136">
        <v>74</v>
      </c>
      <c r="L136">
        <v>2</v>
      </c>
      <c r="M136" t="s">
        <v>32</v>
      </c>
      <c r="N136" t="s">
        <v>32</v>
      </c>
      <c r="O136" t="s">
        <v>1074</v>
      </c>
      <c r="P136" t="str">
        <f>HYPERLINK("https%3A%2F%2Fwww.webofscience.com%2Fwos%2Fwoscc%2Ffull-record%2FWOS:000805505200004","View Full Record in Web of Science")</f>
        <v>View Full Record in Web of Science</v>
      </c>
    </row>
    <row r="137" spans="1:16" x14ac:dyDescent="0.25">
      <c r="A137" t="s">
        <v>1075</v>
      </c>
      <c r="B137" t="s">
        <v>1076</v>
      </c>
      <c r="C137" t="s">
        <v>1077</v>
      </c>
      <c r="D137" t="s">
        <v>1078</v>
      </c>
      <c r="E137" t="s">
        <v>1079</v>
      </c>
      <c r="F137" t="s">
        <v>1080</v>
      </c>
      <c r="G137" t="s">
        <v>32</v>
      </c>
      <c r="H137" t="s">
        <v>1081</v>
      </c>
      <c r="I137" t="s">
        <v>32</v>
      </c>
      <c r="J137">
        <v>2022</v>
      </c>
      <c r="K137">
        <v>30</v>
      </c>
      <c r="L137">
        <v>1</v>
      </c>
      <c r="M137" t="s">
        <v>1082</v>
      </c>
      <c r="N137" t="str">
        <f>HYPERLINK("http://dx.doi.org/10.3934/era.2022018","http://dx.doi.org/10.3934/era.2022018")</f>
        <v>http://dx.doi.org/10.3934/era.2022018</v>
      </c>
      <c r="O137" t="s">
        <v>1083</v>
      </c>
      <c r="P137" t="str">
        <f>HYPERLINK("https%3A%2F%2Fwww.webofscience.com%2Fwos%2Fwoscc%2Ffull-record%2FWOS:000806762600018","View Full Record in Web of Science")</f>
        <v>View Full Record in Web of Science</v>
      </c>
    </row>
    <row r="138" spans="1:16" x14ac:dyDescent="0.25">
      <c r="A138" t="s">
        <v>787</v>
      </c>
      <c r="B138" t="s">
        <v>788</v>
      </c>
      <c r="C138" t="s">
        <v>1084</v>
      </c>
      <c r="D138" t="s">
        <v>410</v>
      </c>
      <c r="E138" t="s">
        <v>1085</v>
      </c>
      <c r="F138" t="s">
        <v>1086</v>
      </c>
      <c r="G138" t="s">
        <v>413</v>
      </c>
      <c r="H138" t="s">
        <v>414</v>
      </c>
      <c r="I138" t="s">
        <v>93</v>
      </c>
      <c r="J138">
        <v>2022</v>
      </c>
      <c r="K138">
        <v>54</v>
      </c>
      <c r="L138">
        <v>6</v>
      </c>
      <c r="M138" t="s">
        <v>1087</v>
      </c>
      <c r="N138" t="str">
        <f>HYPERLINK("http://dx.doi.org/10.1007/s11082-022-03794-6","http://dx.doi.org/10.1007/s11082-022-03794-6")</f>
        <v>http://dx.doi.org/10.1007/s11082-022-03794-6</v>
      </c>
      <c r="O138" t="s">
        <v>1088</v>
      </c>
      <c r="P138" t="str">
        <f>HYPERLINK("https%3A%2F%2Fwww.webofscience.com%2Fwos%2Fwoscc%2Ffull-record%2FWOS:000807365600007","View Full Record in Web of Science")</f>
        <v>View Full Record in Web of Science</v>
      </c>
    </row>
    <row r="139" spans="1:16" x14ac:dyDescent="0.25">
      <c r="A139" t="s">
        <v>1089</v>
      </c>
      <c r="B139" t="s">
        <v>1090</v>
      </c>
      <c r="C139" t="s">
        <v>1091</v>
      </c>
      <c r="D139" t="s">
        <v>1092</v>
      </c>
      <c r="E139" t="s">
        <v>1093</v>
      </c>
      <c r="F139" t="s">
        <v>1094</v>
      </c>
      <c r="G139" t="s">
        <v>1095</v>
      </c>
      <c r="H139" t="s">
        <v>1096</v>
      </c>
      <c r="I139" t="s">
        <v>1097</v>
      </c>
      <c r="J139">
        <v>2022</v>
      </c>
      <c r="K139">
        <v>2022</v>
      </c>
      <c r="L139" t="s">
        <v>32</v>
      </c>
      <c r="M139" t="s">
        <v>1098</v>
      </c>
      <c r="N139" t="str">
        <f>HYPERLINK("http://dx.doi.org/10.1155/2022/4799841","http://dx.doi.org/10.1155/2022/4799841")</f>
        <v>http://dx.doi.org/10.1155/2022/4799841</v>
      </c>
      <c r="O139" t="s">
        <v>1099</v>
      </c>
      <c r="P139" t="str">
        <f>HYPERLINK("https%3A%2F%2Fwww.webofscience.com%2Fwos%2Fwoscc%2Ffull-record%2FWOS:000807798600001","View Full Record in Web of Science")</f>
        <v>View Full Record in Web of Science</v>
      </c>
    </row>
    <row r="140" spans="1:16" x14ac:dyDescent="0.25">
      <c r="A140" t="s">
        <v>1100</v>
      </c>
      <c r="B140" t="s">
        <v>1101</v>
      </c>
      <c r="C140" t="s">
        <v>1102</v>
      </c>
      <c r="D140" t="s">
        <v>410</v>
      </c>
      <c r="E140" t="s">
        <v>1103</v>
      </c>
      <c r="F140" t="s">
        <v>1104</v>
      </c>
      <c r="G140" t="s">
        <v>413</v>
      </c>
      <c r="H140" t="s">
        <v>414</v>
      </c>
      <c r="I140" t="s">
        <v>894</v>
      </c>
      <c r="J140">
        <v>2022</v>
      </c>
      <c r="K140">
        <v>54</v>
      </c>
      <c r="L140">
        <v>7</v>
      </c>
      <c r="M140" t="s">
        <v>1105</v>
      </c>
      <c r="N140" t="str">
        <f>HYPERLINK("http://dx.doi.org/10.1007/s11082-022-03819-0","http://dx.doi.org/10.1007/s11082-022-03819-0")</f>
        <v>http://dx.doi.org/10.1007/s11082-022-03819-0</v>
      </c>
      <c r="O140" t="s">
        <v>1106</v>
      </c>
      <c r="P140" t="str">
        <f>HYPERLINK("https%3A%2F%2Fwww.webofscience.com%2Fwos%2Fwoscc%2Ffull-record%2FWOS:000806822700002","View Full Record in Web of Science")</f>
        <v>View Full Record in Web of Science</v>
      </c>
    </row>
    <row r="141" spans="1:16" x14ac:dyDescent="0.25">
      <c r="A141" t="s">
        <v>1107</v>
      </c>
      <c r="B141" t="s">
        <v>1108</v>
      </c>
      <c r="C141" t="s">
        <v>1109</v>
      </c>
      <c r="D141" t="s">
        <v>410</v>
      </c>
      <c r="E141" t="s">
        <v>1110</v>
      </c>
      <c r="F141" t="s">
        <v>1111</v>
      </c>
      <c r="G141" t="s">
        <v>413</v>
      </c>
      <c r="H141" t="s">
        <v>414</v>
      </c>
      <c r="I141" t="s">
        <v>894</v>
      </c>
      <c r="J141">
        <v>2022</v>
      </c>
      <c r="K141">
        <v>54</v>
      </c>
      <c r="L141">
        <v>7</v>
      </c>
      <c r="M141" t="s">
        <v>1112</v>
      </c>
      <c r="N141" t="str">
        <f>HYPERLINK("http://dx.doi.org/10.1007/s11082-022-03814-5","http://dx.doi.org/10.1007/s11082-022-03814-5")</f>
        <v>http://dx.doi.org/10.1007/s11082-022-03814-5</v>
      </c>
      <c r="O141" t="s">
        <v>1113</v>
      </c>
      <c r="P141" t="str">
        <f>HYPERLINK("https%3A%2F%2Fwww.webofscience.com%2Fwos%2Fwoscc%2Ffull-record%2FWOS:000806822700003","View Full Record in Web of Science")</f>
        <v>View Full Record in Web of Science</v>
      </c>
    </row>
    <row r="142" spans="1:16" x14ac:dyDescent="0.25">
      <c r="A142" t="s">
        <v>1114</v>
      </c>
      <c r="B142" t="s">
        <v>1115</v>
      </c>
      <c r="C142" t="s">
        <v>1116</v>
      </c>
      <c r="D142" t="s">
        <v>1003</v>
      </c>
      <c r="E142" t="s">
        <v>1117</v>
      </c>
      <c r="F142" t="s">
        <v>955</v>
      </c>
      <c r="G142" t="s">
        <v>1006</v>
      </c>
      <c r="H142" t="s">
        <v>1007</v>
      </c>
      <c r="I142" t="s">
        <v>449</v>
      </c>
      <c r="J142">
        <v>2022</v>
      </c>
      <c r="K142">
        <v>178</v>
      </c>
      <c r="L142" t="s">
        <v>32</v>
      </c>
      <c r="M142" t="s">
        <v>1118</v>
      </c>
      <c r="N142" t="str">
        <f>HYPERLINK("http://dx.doi.org/10.1016/j.geomphys.2022.104554","http://dx.doi.org/10.1016/j.geomphys.2022.104554")</f>
        <v>http://dx.doi.org/10.1016/j.geomphys.2022.104554</v>
      </c>
      <c r="O142" t="s">
        <v>1119</v>
      </c>
      <c r="P142" t="str">
        <f>HYPERLINK("https%3A%2F%2Fwww.webofscience.com%2Fwos%2Fwoscc%2Ffull-record%2FWOS:000802803800005","View Full Record in Web of Science")</f>
        <v>View Full Record in Web of Science</v>
      </c>
    </row>
    <row r="143" spans="1:16" x14ac:dyDescent="0.25">
      <c r="A143" t="s">
        <v>1120</v>
      </c>
      <c r="B143" t="s">
        <v>1121</v>
      </c>
      <c r="C143" t="s">
        <v>1122</v>
      </c>
      <c r="D143" t="s">
        <v>347</v>
      </c>
      <c r="E143" t="s">
        <v>1123</v>
      </c>
      <c r="F143" t="s">
        <v>1124</v>
      </c>
      <c r="G143" t="s">
        <v>350</v>
      </c>
      <c r="H143" t="s">
        <v>32</v>
      </c>
      <c r="I143" t="s">
        <v>894</v>
      </c>
      <c r="J143">
        <v>2022</v>
      </c>
      <c r="K143">
        <v>38</v>
      </c>
      <c r="L143" t="s">
        <v>32</v>
      </c>
      <c r="M143" t="s">
        <v>1125</v>
      </c>
      <c r="N143" t="str">
        <f>HYPERLINK("http://dx.doi.org/10.1016/j.rinp.2022.105546","http://dx.doi.org/10.1016/j.rinp.2022.105546")</f>
        <v>http://dx.doi.org/10.1016/j.rinp.2022.105546</v>
      </c>
      <c r="O143" t="s">
        <v>1126</v>
      </c>
      <c r="P143" t="str">
        <f>HYPERLINK("https%3A%2F%2Fwww.webofscience.com%2Fwos%2Fwoscc%2Ffull-record%2FWOS:000803874800003","View Full Record in Web of Science")</f>
        <v>View Full Record in Web of Science</v>
      </c>
    </row>
    <row r="144" spans="1:16" x14ac:dyDescent="0.25">
      <c r="A144" t="s">
        <v>1127</v>
      </c>
      <c r="B144" t="s">
        <v>1128</v>
      </c>
      <c r="C144" t="s">
        <v>1129</v>
      </c>
      <c r="D144" t="s">
        <v>347</v>
      </c>
      <c r="E144" t="s">
        <v>1027</v>
      </c>
      <c r="F144" t="s">
        <v>1028</v>
      </c>
      <c r="G144" t="s">
        <v>350</v>
      </c>
      <c r="H144" t="s">
        <v>32</v>
      </c>
      <c r="I144" t="s">
        <v>93</v>
      </c>
      <c r="J144">
        <v>2022</v>
      </c>
      <c r="K144">
        <v>37</v>
      </c>
      <c r="L144" t="s">
        <v>32</v>
      </c>
      <c r="M144" t="s">
        <v>1130</v>
      </c>
      <c r="N144" t="str">
        <f>HYPERLINK("http://dx.doi.org/10.1016/j.rinp.2022.105455","http://dx.doi.org/10.1016/j.rinp.2022.105455")</f>
        <v>http://dx.doi.org/10.1016/j.rinp.2022.105455</v>
      </c>
      <c r="O144" t="s">
        <v>1131</v>
      </c>
      <c r="P144" t="str">
        <f>HYPERLINK("https%3A%2F%2Fwww.webofscience.com%2Fwos%2Fwoscc%2Ffull-record%2FWOS:000803761200010","View Full Record in Web of Science")</f>
        <v>View Full Record in Web of Science</v>
      </c>
    </row>
    <row r="145" spans="1:16" x14ac:dyDescent="0.25">
      <c r="A145" t="s">
        <v>1132</v>
      </c>
      <c r="B145" t="s">
        <v>1133</v>
      </c>
      <c r="C145" t="s">
        <v>1134</v>
      </c>
      <c r="D145" t="s">
        <v>40</v>
      </c>
      <c r="E145" t="s">
        <v>1135</v>
      </c>
      <c r="F145" t="s">
        <v>1136</v>
      </c>
      <c r="G145" t="s">
        <v>43</v>
      </c>
      <c r="H145" t="s">
        <v>44</v>
      </c>
      <c r="I145" t="s">
        <v>894</v>
      </c>
      <c r="J145">
        <v>2022</v>
      </c>
      <c r="K145">
        <v>261</v>
      </c>
      <c r="L145" t="s">
        <v>32</v>
      </c>
      <c r="M145" t="s">
        <v>1137</v>
      </c>
      <c r="N145" t="str">
        <f>HYPERLINK("http://dx.doi.org/10.1016/j.ijleo.2022.169202","http://dx.doi.org/10.1016/j.ijleo.2022.169202")</f>
        <v>http://dx.doi.org/10.1016/j.ijleo.2022.169202</v>
      </c>
      <c r="O145" t="s">
        <v>1138</v>
      </c>
      <c r="P145" t="str">
        <f>HYPERLINK("https%3A%2F%2Fwww.webofscience.com%2Fwos%2Fwoscc%2Ffull-record%2FWOS:000800407900012","View Full Record in Web of Science")</f>
        <v>View Full Record in Web of Science</v>
      </c>
    </row>
    <row r="146" spans="1:16" x14ac:dyDescent="0.25">
      <c r="A146" t="s">
        <v>1139</v>
      </c>
      <c r="B146" t="s">
        <v>1140</v>
      </c>
      <c r="C146" t="s">
        <v>1141</v>
      </c>
      <c r="D146" t="s">
        <v>1142</v>
      </c>
      <c r="E146" t="s">
        <v>1143</v>
      </c>
      <c r="F146" t="s">
        <v>1144</v>
      </c>
      <c r="G146" t="s">
        <v>1145</v>
      </c>
      <c r="H146" t="s">
        <v>1146</v>
      </c>
      <c r="I146" t="s">
        <v>964</v>
      </c>
      <c r="J146">
        <v>2022</v>
      </c>
      <c r="K146">
        <v>34</v>
      </c>
      <c r="L146">
        <v>2</v>
      </c>
      <c r="M146" t="s">
        <v>1147</v>
      </c>
      <c r="N146" t="str">
        <f>HYPERLINK("http://dx.doi.org/10.2351/7.0000639","http://dx.doi.org/10.2351/7.0000639")</f>
        <v>http://dx.doi.org/10.2351/7.0000639</v>
      </c>
      <c r="O146" t="s">
        <v>1148</v>
      </c>
      <c r="P146" t="str">
        <f>HYPERLINK("https%3A%2F%2Fwww.webofscience.com%2Fwos%2Fwoscc%2Ffull-record%2FWOS:000802867500001","View Full Record in Web of Science")</f>
        <v>View Full Record in Web of Science</v>
      </c>
    </row>
    <row r="147" spans="1:16" x14ac:dyDescent="0.25">
      <c r="A147" t="s">
        <v>1149</v>
      </c>
      <c r="B147" t="s">
        <v>1150</v>
      </c>
      <c r="C147" t="s">
        <v>1151</v>
      </c>
      <c r="D147" t="s">
        <v>1152</v>
      </c>
      <c r="E147" t="s">
        <v>1153</v>
      </c>
      <c r="F147" t="s">
        <v>1154</v>
      </c>
      <c r="G147" t="s">
        <v>32</v>
      </c>
      <c r="H147" t="s">
        <v>1155</v>
      </c>
      <c r="I147" t="s">
        <v>32</v>
      </c>
      <c r="J147">
        <v>2022</v>
      </c>
      <c r="K147">
        <v>7</v>
      </c>
      <c r="L147">
        <v>8</v>
      </c>
      <c r="M147" t="s">
        <v>1156</v>
      </c>
      <c r="N147" t="str">
        <f>HYPERLINK("http://dx.doi.org/10.3934/math.2022766","http://dx.doi.org/10.3934/math.2022766")</f>
        <v>http://dx.doi.org/10.3934/math.2022766</v>
      </c>
      <c r="O147" t="s">
        <v>1157</v>
      </c>
      <c r="P147" t="str">
        <f>HYPERLINK("https%3A%2F%2Fwww.webofscience.com%2Fwos%2Fwoscc%2Ffull-record%2FWOS:000803773800003","View Full Record in Web of Science")</f>
        <v>View Full Record in Web of Science</v>
      </c>
    </row>
    <row r="148" spans="1:16" x14ac:dyDescent="0.25">
      <c r="A148" t="s">
        <v>1158</v>
      </c>
      <c r="B148" t="s">
        <v>1159</v>
      </c>
      <c r="C148" t="s">
        <v>1160</v>
      </c>
      <c r="D148" t="s">
        <v>1161</v>
      </c>
      <c r="E148" t="s">
        <v>213</v>
      </c>
      <c r="F148" t="s">
        <v>53</v>
      </c>
      <c r="G148" t="s">
        <v>1162</v>
      </c>
      <c r="H148" t="s">
        <v>1163</v>
      </c>
      <c r="I148" t="s">
        <v>449</v>
      </c>
      <c r="J148">
        <v>2022</v>
      </c>
      <c r="K148">
        <v>21</v>
      </c>
      <c r="L148">
        <v>4</v>
      </c>
      <c r="M148" t="s">
        <v>1164</v>
      </c>
      <c r="N148" t="str">
        <f>HYPERLINK("http://dx.doi.org/10.1007/s10825-022-01888-8","http://dx.doi.org/10.1007/s10825-022-01888-8")</f>
        <v>http://dx.doi.org/10.1007/s10825-022-01888-8</v>
      </c>
      <c r="O148" t="s">
        <v>1165</v>
      </c>
      <c r="P148" t="str">
        <f>HYPERLINK("https%3A%2F%2Fwww.webofscience.com%2Fwos%2Fwoscc%2Ffull-record%2FWOS:000803787100001","View Full Record in Web of Science")</f>
        <v>View Full Record in Web of Science</v>
      </c>
    </row>
    <row r="149" spans="1:16" x14ac:dyDescent="0.25">
      <c r="A149" t="s">
        <v>1166</v>
      </c>
      <c r="B149" t="s">
        <v>1167</v>
      </c>
      <c r="C149" t="s">
        <v>1168</v>
      </c>
      <c r="D149" t="s">
        <v>1169</v>
      </c>
      <c r="E149" t="s">
        <v>1170</v>
      </c>
      <c r="F149" t="s">
        <v>1171</v>
      </c>
      <c r="G149" t="s">
        <v>1172</v>
      </c>
      <c r="H149" t="s">
        <v>1173</v>
      </c>
      <c r="I149" t="s">
        <v>1174</v>
      </c>
      <c r="J149">
        <v>2022</v>
      </c>
      <c r="K149">
        <v>2022</v>
      </c>
      <c r="L149" t="s">
        <v>32</v>
      </c>
      <c r="M149" t="s">
        <v>1175</v>
      </c>
      <c r="N149" t="str">
        <f>HYPERLINK("http://dx.doi.org/10.1155/2022/3233964","http://dx.doi.org/10.1155/2022/3233964")</f>
        <v>http://dx.doi.org/10.1155/2022/3233964</v>
      </c>
      <c r="O149" t="s">
        <v>1176</v>
      </c>
      <c r="P149" t="str">
        <f>HYPERLINK("https%3A%2F%2Fwww.webofscience.com%2Fwos%2Fwoscc%2Ffull-record%2FWOS:000802765700002","View Full Record in Web of Science")</f>
        <v>View Full Record in Web of Science</v>
      </c>
    </row>
    <row r="150" spans="1:16" x14ac:dyDescent="0.25">
      <c r="A150" t="s">
        <v>1177</v>
      </c>
      <c r="B150" t="s">
        <v>1178</v>
      </c>
      <c r="C150" t="s">
        <v>1179</v>
      </c>
      <c r="D150" t="s">
        <v>203</v>
      </c>
      <c r="E150" t="s">
        <v>72</v>
      </c>
      <c r="F150" t="s">
        <v>1180</v>
      </c>
      <c r="G150" t="s">
        <v>206</v>
      </c>
      <c r="H150" t="s">
        <v>32</v>
      </c>
      <c r="I150" t="s">
        <v>1181</v>
      </c>
      <c r="J150">
        <v>2022</v>
      </c>
      <c r="K150">
        <v>17</v>
      </c>
      <c r="L150">
        <v>1</v>
      </c>
      <c r="M150" t="s">
        <v>1182</v>
      </c>
      <c r="N150" t="str">
        <f>HYPERLINK("http://dx.doi.org/10.1371/journal.pone.0260144","http://dx.doi.org/10.1371/journal.pone.0260144")</f>
        <v>http://dx.doi.org/10.1371/journal.pone.0260144</v>
      </c>
      <c r="O150" t="s">
        <v>1183</v>
      </c>
      <c r="P150" t="str">
        <f>HYPERLINK("https%3A%2F%2Fwww.webofscience.com%2Fwos%2Fwoscc%2Ffull-record%2FWOS:000791072800015","View Full Record in Web of Science")</f>
        <v>View Full Record in Web of Science</v>
      </c>
    </row>
    <row r="151" spans="1:16" x14ac:dyDescent="0.25">
      <c r="A151" t="s">
        <v>462</v>
      </c>
      <c r="B151" t="s">
        <v>463</v>
      </c>
      <c r="C151" t="s">
        <v>1184</v>
      </c>
      <c r="D151" t="s">
        <v>40</v>
      </c>
      <c r="E151" t="s">
        <v>1185</v>
      </c>
      <c r="F151" t="s">
        <v>1186</v>
      </c>
      <c r="G151" t="s">
        <v>43</v>
      </c>
      <c r="H151" t="s">
        <v>44</v>
      </c>
      <c r="I151" t="s">
        <v>894</v>
      </c>
      <c r="J151">
        <v>2022</v>
      </c>
      <c r="K151">
        <v>261</v>
      </c>
      <c r="L151" t="s">
        <v>32</v>
      </c>
      <c r="M151" t="s">
        <v>1187</v>
      </c>
      <c r="N151" t="str">
        <f>HYPERLINK("http://dx.doi.org/10.1016/j.ijleo.2022.169110","http://dx.doi.org/10.1016/j.ijleo.2022.169110")</f>
        <v>http://dx.doi.org/10.1016/j.ijleo.2022.169110</v>
      </c>
      <c r="O151" t="s">
        <v>1188</v>
      </c>
      <c r="P151" t="str">
        <f>HYPERLINK("https%3A%2F%2Fwww.webofscience.com%2Fwos%2Fwoscc%2Ffull-record%2FWOS:000800420300006","View Full Record in Web of Science")</f>
        <v>View Full Record in Web of Science</v>
      </c>
    </row>
    <row r="152" spans="1:16" x14ac:dyDescent="0.25">
      <c r="A152" t="s">
        <v>1189</v>
      </c>
      <c r="B152" t="s">
        <v>1190</v>
      </c>
      <c r="C152" t="s">
        <v>1191</v>
      </c>
      <c r="D152" t="s">
        <v>347</v>
      </c>
      <c r="E152" t="s">
        <v>1192</v>
      </c>
      <c r="F152" t="s">
        <v>1193</v>
      </c>
      <c r="G152" t="s">
        <v>350</v>
      </c>
      <c r="H152" t="s">
        <v>32</v>
      </c>
      <c r="I152" t="s">
        <v>93</v>
      </c>
      <c r="J152">
        <v>2022</v>
      </c>
      <c r="K152">
        <v>37</v>
      </c>
      <c r="L152" t="s">
        <v>32</v>
      </c>
      <c r="M152" t="s">
        <v>1194</v>
      </c>
      <c r="N152" t="str">
        <f>HYPERLINK("http://dx.doi.org/10.1016/j.rinp.2022.105485","http://dx.doi.org/10.1016/j.rinp.2022.105485")</f>
        <v>http://dx.doi.org/10.1016/j.rinp.2022.105485</v>
      </c>
      <c r="O152" t="s">
        <v>1195</v>
      </c>
      <c r="P152" t="str">
        <f>HYPERLINK("https%3A%2F%2Fwww.webofscience.com%2Fwos%2Fwoscc%2Ffull-record%2FWOS:000798983300006","View Full Record in Web of Science")</f>
        <v>View Full Record in Web of Science</v>
      </c>
    </row>
    <row r="153" spans="1:16" x14ac:dyDescent="0.25">
      <c r="A153" t="s">
        <v>1196</v>
      </c>
      <c r="B153" t="s">
        <v>1197</v>
      </c>
      <c r="C153" t="s">
        <v>1198</v>
      </c>
      <c r="D153" t="s">
        <v>410</v>
      </c>
      <c r="E153" t="s">
        <v>1199</v>
      </c>
      <c r="F153" t="s">
        <v>1200</v>
      </c>
      <c r="G153" t="s">
        <v>413</v>
      </c>
      <c r="H153" t="s">
        <v>414</v>
      </c>
      <c r="I153" t="s">
        <v>93</v>
      </c>
      <c r="J153">
        <v>2022</v>
      </c>
      <c r="K153">
        <v>54</v>
      </c>
      <c r="L153">
        <v>6</v>
      </c>
      <c r="M153" t="s">
        <v>1201</v>
      </c>
      <c r="N153" t="str">
        <f>HYPERLINK("http://dx.doi.org/10.1007/s11082-022-03796-4","http://dx.doi.org/10.1007/s11082-022-03796-4")</f>
        <v>http://dx.doi.org/10.1007/s11082-022-03796-4</v>
      </c>
      <c r="O153" t="s">
        <v>1202</v>
      </c>
      <c r="P153" t="str">
        <f>HYPERLINK("https%3A%2F%2Fwww.webofscience.com%2Fwos%2Fwoscc%2Ffull-record%2FWOS:000798616900002","View Full Record in Web of Science")</f>
        <v>View Full Record in Web of Science</v>
      </c>
    </row>
    <row r="154" spans="1:16" x14ac:dyDescent="0.25">
      <c r="A154" t="s">
        <v>188</v>
      </c>
      <c r="B154" t="s">
        <v>1203</v>
      </c>
      <c r="C154" t="s">
        <v>1204</v>
      </c>
      <c r="D154" t="s">
        <v>410</v>
      </c>
      <c r="E154" t="s">
        <v>1205</v>
      </c>
      <c r="F154" t="s">
        <v>1206</v>
      </c>
      <c r="G154" t="s">
        <v>413</v>
      </c>
      <c r="H154" t="s">
        <v>414</v>
      </c>
      <c r="I154" t="s">
        <v>93</v>
      </c>
      <c r="J154">
        <v>2022</v>
      </c>
      <c r="K154">
        <v>54</v>
      </c>
      <c r="L154">
        <v>6</v>
      </c>
      <c r="M154" t="s">
        <v>1207</v>
      </c>
      <c r="N154" t="str">
        <f>HYPERLINK("http://dx.doi.org/10.1007/s11082-022-03795-5","http://dx.doi.org/10.1007/s11082-022-03795-5")</f>
        <v>http://dx.doi.org/10.1007/s11082-022-03795-5</v>
      </c>
      <c r="O154" t="s">
        <v>1208</v>
      </c>
      <c r="P154" t="str">
        <f>HYPERLINK("https%3A%2F%2Fwww.webofscience.com%2Fwos%2Fwoscc%2Ffull-record%2FWOS:000798616900001","View Full Record in Web of Science")</f>
        <v>View Full Record in Web of Science</v>
      </c>
    </row>
    <row r="155" spans="1:16" x14ac:dyDescent="0.25">
      <c r="A155" t="s">
        <v>1209</v>
      </c>
      <c r="B155" t="s">
        <v>1210</v>
      </c>
      <c r="C155" t="s">
        <v>1211</v>
      </c>
      <c r="D155" t="s">
        <v>465</v>
      </c>
      <c r="E155" t="s">
        <v>1212</v>
      </c>
      <c r="F155" t="s">
        <v>1213</v>
      </c>
      <c r="G155" t="s">
        <v>468</v>
      </c>
      <c r="H155" t="s">
        <v>469</v>
      </c>
      <c r="I155" t="s">
        <v>1214</v>
      </c>
      <c r="J155">
        <v>2022</v>
      </c>
      <c r="K155">
        <v>97</v>
      </c>
      <c r="L155">
        <v>6</v>
      </c>
      <c r="M155" t="s">
        <v>1215</v>
      </c>
      <c r="N155" t="str">
        <f>HYPERLINK("http://dx.doi.org/10.1088/1402-4896/ac6f8d","http://dx.doi.org/10.1088/1402-4896/ac6f8d")</f>
        <v>http://dx.doi.org/10.1088/1402-4896/ac6f8d</v>
      </c>
      <c r="O155" t="s">
        <v>1216</v>
      </c>
      <c r="P155" t="str">
        <f>HYPERLINK("https%3A%2F%2Fwww.webofscience.com%2Fwos%2Fwoscc%2Ffull-record%2FWOS:000800013900001","View Full Record in Web of Science")</f>
        <v>View Full Record in Web of Science</v>
      </c>
    </row>
    <row r="156" spans="1:16" x14ac:dyDescent="0.25">
      <c r="A156" t="s">
        <v>1217</v>
      </c>
      <c r="B156" t="s">
        <v>1218</v>
      </c>
      <c r="C156" t="s">
        <v>1219</v>
      </c>
      <c r="D156" t="s">
        <v>1220</v>
      </c>
      <c r="E156" t="s">
        <v>1221</v>
      </c>
      <c r="F156" t="s">
        <v>1222</v>
      </c>
      <c r="G156" t="s">
        <v>1223</v>
      </c>
      <c r="H156" t="s">
        <v>1224</v>
      </c>
      <c r="I156" t="s">
        <v>894</v>
      </c>
      <c r="J156">
        <v>2022</v>
      </c>
      <c r="K156">
        <v>37</v>
      </c>
      <c r="L156">
        <v>4</v>
      </c>
      <c r="M156" t="s">
        <v>1225</v>
      </c>
      <c r="N156" t="str">
        <f>HYPERLINK("http://dx.doi.org/10.1002/ffj.3696","http://dx.doi.org/10.1002/ffj.3696")</f>
        <v>http://dx.doi.org/10.1002/ffj.3696</v>
      </c>
      <c r="O156" t="s">
        <v>1226</v>
      </c>
      <c r="P156" t="str">
        <f>HYPERLINK("https%3A%2F%2Fwww.webofscience.com%2Fwos%2Fwoscc%2Ffull-record%2FWOS:000797061400001","View Full Record in Web of Science")</f>
        <v>View Full Record in Web of Science</v>
      </c>
    </row>
    <row r="157" spans="1:16" x14ac:dyDescent="0.25">
      <c r="A157" t="s">
        <v>1227</v>
      </c>
      <c r="B157" t="s">
        <v>1228</v>
      </c>
      <c r="C157" t="s">
        <v>1229</v>
      </c>
      <c r="D157" t="s">
        <v>1142</v>
      </c>
      <c r="E157" t="s">
        <v>1230</v>
      </c>
      <c r="F157" t="s">
        <v>1231</v>
      </c>
      <c r="G157" t="s">
        <v>1145</v>
      </c>
      <c r="H157" t="s">
        <v>1146</v>
      </c>
      <c r="I157" t="s">
        <v>964</v>
      </c>
      <c r="J157">
        <v>2022</v>
      </c>
      <c r="K157">
        <v>34</v>
      </c>
      <c r="L157">
        <v>2</v>
      </c>
      <c r="M157" t="s">
        <v>1232</v>
      </c>
      <c r="N157" t="str">
        <f>HYPERLINK("http://dx.doi.org/10.2351/7.0000623","http://dx.doi.org/10.2351/7.0000623")</f>
        <v>http://dx.doi.org/10.2351/7.0000623</v>
      </c>
      <c r="O157" t="s">
        <v>1233</v>
      </c>
      <c r="P157" t="str">
        <f>HYPERLINK("https%3A%2F%2Fwww.webofscience.com%2Fwos%2Fwoscc%2Ffull-record%2FWOS:000795965900001","View Full Record in Web of Science")</f>
        <v>View Full Record in Web of Science</v>
      </c>
    </row>
    <row r="158" spans="1:16" x14ac:dyDescent="0.25">
      <c r="A158" t="s">
        <v>1234</v>
      </c>
      <c r="B158" t="s">
        <v>1235</v>
      </c>
      <c r="C158" t="s">
        <v>1236</v>
      </c>
      <c r="D158" t="s">
        <v>410</v>
      </c>
      <c r="E158" t="s">
        <v>1237</v>
      </c>
      <c r="F158" t="s">
        <v>1021</v>
      </c>
      <c r="G158" t="s">
        <v>413</v>
      </c>
      <c r="H158" t="s">
        <v>414</v>
      </c>
      <c r="I158" t="s">
        <v>93</v>
      </c>
      <c r="J158">
        <v>2022</v>
      </c>
      <c r="K158">
        <v>54</v>
      </c>
      <c r="L158">
        <v>6</v>
      </c>
      <c r="M158" t="s">
        <v>1238</v>
      </c>
      <c r="N158" t="str">
        <f>HYPERLINK("http://dx.doi.org/10.1007/s11082-022-03728-2","http://dx.doi.org/10.1007/s11082-022-03728-2")</f>
        <v>http://dx.doi.org/10.1007/s11082-022-03728-2</v>
      </c>
      <c r="O158" t="s">
        <v>1239</v>
      </c>
      <c r="P158" t="str">
        <f>HYPERLINK("https%3A%2F%2Fwww.webofscience.com%2Fwos%2Fwoscc%2Ffull-record%2FWOS:000794956800019","View Full Record in Web of Science")</f>
        <v>View Full Record in Web of Science</v>
      </c>
    </row>
    <row r="159" spans="1:16" x14ac:dyDescent="0.25">
      <c r="A159" t="s">
        <v>1240</v>
      </c>
      <c r="B159" t="s">
        <v>1241</v>
      </c>
      <c r="C159" t="s">
        <v>1242</v>
      </c>
      <c r="D159" t="s">
        <v>1152</v>
      </c>
      <c r="E159" t="s">
        <v>1243</v>
      </c>
      <c r="F159" t="s">
        <v>792</v>
      </c>
      <c r="G159" t="s">
        <v>32</v>
      </c>
      <c r="H159" t="s">
        <v>1155</v>
      </c>
      <c r="I159" t="s">
        <v>32</v>
      </c>
      <c r="J159">
        <v>2022</v>
      </c>
      <c r="K159">
        <v>7</v>
      </c>
      <c r="L159">
        <v>5</v>
      </c>
      <c r="M159" t="s">
        <v>1244</v>
      </c>
      <c r="N159" t="str">
        <f>HYPERLINK("http://dx.doi.org/10.3934/math.2022524","http://dx.doi.org/10.3934/math.2022524")</f>
        <v>http://dx.doi.org/10.3934/math.2022524</v>
      </c>
      <c r="O159" t="s">
        <v>1245</v>
      </c>
      <c r="P159" t="str">
        <f>HYPERLINK("https%3A%2F%2Fwww.webofscience.com%2Fwos%2Fwoscc%2Ffull-record%2FWOS:000794129400012","View Full Record in Web of Science")</f>
        <v>View Full Record in Web of Science</v>
      </c>
    </row>
    <row r="160" spans="1:16" x14ac:dyDescent="0.25">
      <c r="A160" t="s">
        <v>1246</v>
      </c>
      <c r="B160" t="s">
        <v>1247</v>
      </c>
      <c r="C160" t="s">
        <v>1248</v>
      </c>
      <c r="D160" t="s">
        <v>191</v>
      </c>
      <c r="E160" t="s">
        <v>1249</v>
      </c>
      <c r="F160" t="s">
        <v>1250</v>
      </c>
      <c r="G160" t="s">
        <v>194</v>
      </c>
      <c r="H160" t="s">
        <v>195</v>
      </c>
      <c r="I160" t="s">
        <v>1251</v>
      </c>
      <c r="J160">
        <v>2022</v>
      </c>
      <c r="K160">
        <v>36</v>
      </c>
      <c r="L160">
        <v>11</v>
      </c>
      <c r="M160" t="s">
        <v>1252</v>
      </c>
      <c r="N160" t="str">
        <f>HYPERLINK("http://dx.doi.org/10.1142/S0217984921506259","http://dx.doi.org/10.1142/S0217984921506259")</f>
        <v>http://dx.doi.org/10.1142/S0217984921506259</v>
      </c>
      <c r="O160" t="s">
        <v>1253</v>
      </c>
      <c r="P160" t="str">
        <f>HYPERLINK("https%3A%2F%2Fwww.webofscience.com%2Fwos%2Fwoscc%2Ffull-record%2FWOS:000792822100004","View Full Record in Web of Science")</f>
        <v>View Full Record in Web of Science</v>
      </c>
    </row>
    <row r="161" spans="1:16" x14ac:dyDescent="0.25">
      <c r="A161" t="s">
        <v>1254</v>
      </c>
      <c r="B161" t="s">
        <v>1255</v>
      </c>
      <c r="C161" t="s">
        <v>1256</v>
      </c>
      <c r="D161" t="s">
        <v>1257</v>
      </c>
      <c r="E161" t="s">
        <v>1258</v>
      </c>
      <c r="F161" t="s">
        <v>1259</v>
      </c>
      <c r="G161" t="s">
        <v>1260</v>
      </c>
      <c r="H161" t="s">
        <v>32</v>
      </c>
      <c r="I161" t="s">
        <v>1261</v>
      </c>
      <c r="J161">
        <v>2022</v>
      </c>
      <c r="K161">
        <v>31</v>
      </c>
      <c r="L161" t="s">
        <v>32</v>
      </c>
      <c r="M161" t="s">
        <v>1262</v>
      </c>
      <c r="N161" t="str">
        <f>HYPERLINK("http://dx.doi.org/10.1016/j.csite.2022.101809","http://dx.doi.org/10.1016/j.csite.2022.101809")</f>
        <v>http://dx.doi.org/10.1016/j.csite.2022.101809</v>
      </c>
      <c r="O161" t="s">
        <v>1263</v>
      </c>
      <c r="P161" t="str">
        <f>HYPERLINK("https%3A%2F%2Fwww.webofscience.com%2Fwos%2Fwoscc%2Ffull-record%2FWOS:000789925900001","View Full Record in Web of Science")</f>
        <v>View Full Record in Web of Science</v>
      </c>
    </row>
    <row r="162" spans="1:16" x14ac:dyDescent="0.25">
      <c r="A162" t="s">
        <v>1264</v>
      </c>
      <c r="B162" t="s">
        <v>1265</v>
      </c>
      <c r="C162" t="s">
        <v>1266</v>
      </c>
      <c r="D162" t="s">
        <v>1257</v>
      </c>
      <c r="E162" t="s">
        <v>1267</v>
      </c>
      <c r="F162" t="s">
        <v>1268</v>
      </c>
      <c r="G162" t="s">
        <v>1260</v>
      </c>
      <c r="H162" t="s">
        <v>32</v>
      </c>
      <c r="I162" t="s">
        <v>1261</v>
      </c>
      <c r="J162">
        <v>2022</v>
      </c>
      <c r="K162">
        <v>31</v>
      </c>
      <c r="L162" t="s">
        <v>32</v>
      </c>
      <c r="M162" t="s">
        <v>1269</v>
      </c>
      <c r="N162" t="str">
        <f>HYPERLINK("http://dx.doi.org/10.1016/j.csite.2022.101824","http://dx.doi.org/10.1016/j.csite.2022.101824")</f>
        <v>http://dx.doi.org/10.1016/j.csite.2022.101824</v>
      </c>
      <c r="O162" t="s">
        <v>1270</v>
      </c>
      <c r="P162" t="str">
        <f>HYPERLINK("https%3A%2F%2Fwww.webofscience.com%2Fwos%2Fwoscc%2Ffull-record%2FWOS:000789925900003","View Full Record in Web of Science")</f>
        <v>View Full Record in Web of Science</v>
      </c>
    </row>
    <row r="163" spans="1:16" x14ac:dyDescent="0.25">
      <c r="A163" t="s">
        <v>1271</v>
      </c>
      <c r="B163" t="s">
        <v>1272</v>
      </c>
      <c r="C163" t="s">
        <v>1273</v>
      </c>
      <c r="D163" t="s">
        <v>1274</v>
      </c>
      <c r="E163" t="s">
        <v>1275</v>
      </c>
      <c r="F163" t="s">
        <v>1276</v>
      </c>
      <c r="G163" t="s">
        <v>1277</v>
      </c>
      <c r="H163" t="s">
        <v>1278</v>
      </c>
      <c r="I163" t="s">
        <v>45</v>
      </c>
      <c r="J163">
        <v>2022</v>
      </c>
      <c r="K163">
        <v>24</v>
      </c>
      <c r="L163">
        <v>5</v>
      </c>
      <c r="M163" t="s">
        <v>1279</v>
      </c>
      <c r="N163" t="str">
        <f>HYPERLINK("http://dx.doi.org/10.1002/asjc.2837","http://dx.doi.org/10.1002/asjc.2837")</f>
        <v>http://dx.doi.org/10.1002/asjc.2837</v>
      </c>
      <c r="O163" t="s">
        <v>1280</v>
      </c>
      <c r="P163" t="str">
        <f>HYPERLINK("https%3A%2F%2Fwww.webofscience.com%2Fwos%2Fwoscc%2Ffull-record%2FWOS:000789179400001","View Full Record in Web of Science")</f>
        <v>View Full Record in Web of Science</v>
      </c>
    </row>
    <row r="164" spans="1:16" x14ac:dyDescent="0.25">
      <c r="A164" t="s">
        <v>1281</v>
      </c>
      <c r="B164" t="s">
        <v>1282</v>
      </c>
      <c r="C164" t="s">
        <v>1283</v>
      </c>
      <c r="D164" t="s">
        <v>347</v>
      </c>
      <c r="E164" t="s">
        <v>1284</v>
      </c>
      <c r="F164" t="s">
        <v>1285</v>
      </c>
      <c r="G164" t="s">
        <v>350</v>
      </c>
      <c r="H164" t="s">
        <v>32</v>
      </c>
      <c r="I164" t="s">
        <v>1286</v>
      </c>
      <c r="J164">
        <v>2022</v>
      </c>
      <c r="K164">
        <v>33</v>
      </c>
      <c r="L164" t="s">
        <v>32</v>
      </c>
      <c r="M164" t="s">
        <v>1287</v>
      </c>
      <c r="N164" t="str">
        <f>HYPERLINK("http://dx.doi.org/10.1016/j.rinp.2021.105153","http://dx.doi.org/10.1016/j.rinp.2021.105153")</f>
        <v>http://dx.doi.org/10.1016/j.rinp.2021.105153</v>
      </c>
      <c r="O164" t="s">
        <v>1288</v>
      </c>
      <c r="P164" t="str">
        <f>HYPERLINK("https%3A%2F%2Fwww.webofscience.com%2Fwos%2Fwoscc%2Ffull-record%2FWOS:000786368400014","View Full Record in Web of Science")</f>
        <v>View Full Record in Web of Science</v>
      </c>
    </row>
    <row r="165" spans="1:16" x14ac:dyDescent="0.25">
      <c r="A165" t="s">
        <v>1289</v>
      </c>
      <c r="B165" t="s">
        <v>1290</v>
      </c>
      <c r="C165" t="s">
        <v>1291</v>
      </c>
      <c r="D165" t="s">
        <v>1292</v>
      </c>
      <c r="E165" t="s">
        <v>1293</v>
      </c>
      <c r="F165" t="s">
        <v>1294</v>
      </c>
      <c r="G165" t="s">
        <v>1295</v>
      </c>
      <c r="H165" t="s">
        <v>1296</v>
      </c>
      <c r="I165" t="s">
        <v>93</v>
      </c>
      <c r="J165">
        <v>2022</v>
      </c>
      <c r="K165">
        <v>236</v>
      </c>
      <c r="L165">
        <v>6</v>
      </c>
      <c r="M165" t="s">
        <v>1297</v>
      </c>
      <c r="N165" t="str">
        <f>HYPERLINK("http://dx.doi.org/10.1177/09544119221089723","http://dx.doi.org/10.1177/09544119221089723")</f>
        <v>http://dx.doi.org/10.1177/09544119221089723</v>
      </c>
      <c r="O165" t="s">
        <v>1298</v>
      </c>
      <c r="P165" t="str">
        <f>HYPERLINK("https%3A%2F%2Fwww.webofscience.com%2Fwos%2Fwoscc%2Ffull-record%2FWOS:000786624400001","View Full Record in Web of Science")</f>
        <v>View Full Record in Web of Science</v>
      </c>
    </row>
    <row r="166" spans="1:16" x14ac:dyDescent="0.25">
      <c r="A166" t="s">
        <v>1299</v>
      </c>
      <c r="B166" t="s">
        <v>1300</v>
      </c>
      <c r="C166" t="s">
        <v>1301</v>
      </c>
      <c r="D166" t="s">
        <v>347</v>
      </c>
      <c r="E166" t="s">
        <v>1302</v>
      </c>
      <c r="F166" t="s">
        <v>1303</v>
      </c>
      <c r="G166" t="s">
        <v>350</v>
      </c>
      <c r="H166" t="s">
        <v>32</v>
      </c>
      <c r="I166" t="s">
        <v>740</v>
      </c>
      <c r="J166">
        <v>2022</v>
      </c>
      <c r="K166">
        <v>35</v>
      </c>
      <c r="L166" t="s">
        <v>32</v>
      </c>
      <c r="M166" t="s">
        <v>1304</v>
      </c>
      <c r="N166" t="str">
        <f>HYPERLINK("http://dx.doi.org/10.1016/j.rinp.2022.105388","http://dx.doi.org/10.1016/j.rinp.2022.105388")</f>
        <v>http://dx.doi.org/10.1016/j.rinp.2022.105388</v>
      </c>
      <c r="O166" t="s">
        <v>1305</v>
      </c>
      <c r="P166" t="str">
        <f>HYPERLINK("https%3A%2F%2Fwww.webofscience.com%2Fwos%2Fwoscc%2Ffull-record%2FWOS:000775917800034","View Full Record in Web of Science")</f>
        <v>View Full Record in Web of Science</v>
      </c>
    </row>
    <row r="167" spans="1:16" x14ac:dyDescent="0.25">
      <c r="A167" t="s">
        <v>1306</v>
      </c>
      <c r="B167" t="s">
        <v>1307</v>
      </c>
      <c r="C167" t="s">
        <v>1308</v>
      </c>
      <c r="D167" t="s">
        <v>347</v>
      </c>
      <c r="E167" t="s">
        <v>1309</v>
      </c>
      <c r="F167" t="s">
        <v>1310</v>
      </c>
      <c r="G167" t="s">
        <v>350</v>
      </c>
      <c r="H167" t="s">
        <v>32</v>
      </c>
      <c r="I167" t="s">
        <v>1261</v>
      </c>
      <c r="J167">
        <v>2022</v>
      </c>
      <c r="K167">
        <v>34</v>
      </c>
      <c r="L167" t="s">
        <v>32</v>
      </c>
      <c r="M167" t="s">
        <v>1311</v>
      </c>
      <c r="N167" t="str">
        <f>HYPERLINK("http://dx.doi.org/10.1016/j.rinp.2022.105281","http://dx.doi.org/10.1016/j.rinp.2022.105281")</f>
        <v>http://dx.doi.org/10.1016/j.rinp.2022.105281</v>
      </c>
      <c r="O167" t="s">
        <v>1312</v>
      </c>
      <c r="P167" t="str">
        <f>HYPERLINK("https%3A%2F%2Fwww.webofscience.com%2Fwos%2Fwoscc%2Ffull-record%2FWOS:000779286100013","View Full Record in Web of Science")</f>
        <v>View Full Record in Web of Science</v>
      </c>
    </row>
    <row r="168" spans="1:16" x14ac:dyDescent="0.25">
      <c r="A168" t="s">
        <v>1313</v>
      </c>
      <c r="B168" t="s">
        <v>1314</v>
      </c>
      <c r="C168" t="s">
        <v>1315</v>
      </c>
      <c r="D168" t="s">
        <v>567</v>
      </c>
      <c r="E168" t="s">
        <v>32</v>
      </c>
      <c r="F168" t="s">
        <v>32</v>
      </c>
      <c r="G168" t="s">
        <v>570</v>
      </c>
      <c r="H168" t="s">
        <v>571</v>
      </c>
      <c r="I168" t="s">
        <v>1286</v>
      </c>
      <c r="J168">
        <v>2022</v>
      </c>
      <c r="K168">
        <v>155</v>
      </c>
      <c r="L168" t="s">
        <v>32</v>
      </c>
      <c r="M168" t="s">
        <v>1316</v>
      </c>
      <c r="N168" t="str">
        <f>HYPERLINK("http://dx.doi.org/10.1016/j.chaos.2021.111640","http://dx.doi.org/10.1016/j.chaos.2021.111640")</f>
        <v>http://dx.doi.org/10.1016/j.chaos.2021.111640</v>
      </c>
      <c r="O168" t="s">
        <v>1317</v>
      </c>
      <c r="P168" t="str">
        <f>HYPERLINK("https%3A%2F%2Fwww.webofscience.com%2Fwos%2Fwoscc%2Ffull-record%2FWOS:000784334900006","View Full Record in Web of Science")</f>
        <v>View Full Record in Web of Science</v>
      </c>
    </row>
    <row r="169" spans="1:16" x14ac:dyDescent="0.25">
      <c r="A169" t="s">
        <v>1318</v>
      </c>
      <c r="B169" t="s">
        <v>1319</v>
      </c>
      <c r="C169" t="s">
        <v>1320</v>
      </c>
      <c r="D169" t="s">
        <v>347</v>
      </c>
      <c r="E169" t="s">
        <v>1321</v>
      </c>
      <c r="F169" t="s">
        <v>1322</v>
      </c>
      <c r="G169" t="s">
        <v>350</v>
      </c>
      <c r="H169" t="s">
        <v>32</v>
      </c>
      <c r="I169" t="s">
        <v>1286</v>
      </c>
      <c r="J169">
        <v>2022</v>
      </c>
      <c r="K169">
        <v>33</v>
      </c>
      <c r="L169" t="s">
        <v>32</v>
      </c>
      <c r="M169" t="s">
        <v>1323</v>
      </c>
      <c r="N169" t="str">
        <f>HYPERLINK("http://dx.doi.org/10.1016/j.rinp.2022.105200","http://dx.doi.org/10.1016/j.rinp.2022.105200")</f>
        <v>http://dx.doi.org/10.1016/j.rinp.2022.105200</v>
      </c>
      <c r="O169" t="s">
        <v>1324</v>
      </c>
      <c r="P169" t="str">
        <f>HYPERLINK("https%3A%2F%2Fwww.webofscience.com%2Fwos%2Fwoscc%2Ffull-record%2FWOS:000778429800002","View Full Record in Web of Science")</f>
        <v>View Full Record in Web of Science</v>
      </c>
    </row>
    <row r="170" spans="1:16" x14ac:dyDescent="0.25">
      <c r="A170" t="s">
        <v>1325</v>
      </c>
      <c r="B170" t="s">
        <v>1326</v>
      </c>
      <c r="C170" t="s">
        <v>1327</v>
      </c>
      <c r="D170" t="s">
        <v>1328</v>
      </c>
      <c r="E170" t="s">
        <v>1329</v>
      </c>
      <c r="F170" t="s">
        <v>1330</v>
      </c>
      <c r="G170" t="s">
        <v>1331</v>
      </c>
      <c r="H170" t="s">
        <v>1332</v>
      </c>
      <c r="I170" t="s">
        <v>1333</v>
      </c>
      <c r="J170">
        <v>2022</v>
      </c>
      <c r="K170">
        <v>95</v>
      </c>
      <c r="L170">
        <v>1</v>
      </c>
      <c r="M170" t="s">
        <v>1334</v>
      </c>
      <c r="N170" t="str">
        <f>HYPERLINK("http://dx.doi.org/10.1134/S1070427222010177","http://dx.doi.org/10.1134/S1070427222010177")</f>
        <v>http://dx.doi.org/10.1134/S1070427222010177</v>
      </c>
      <c r="O170" t="s">
        <v>1335</v>
      </c>
      <c r="P170" t="str">
        <f>HYPERLINK("https%3A%2F%2Fwww.webofscience.com%2Fwos%2Fwoscc%2Ffull-record%2FWOS:000784497500017","View Full Record in Web of Science")</f>
        <v>View Full Record in Web of Science</v>
      </c>
    </row>
    <row r="171" spans="1:16" x14ac:dyDescent="0.25">
      <c r="A171" t="s">
        <v>1336</v>
      </c>
      <c r="B171" t="s">
        <v>1337</v>
      </c>
      <c r="C171" t="s">
        <v>1338</v>
      </c>
      <c r="D171" t="s">
        <v>567</v>
      </c>
      <c r="E171" t="s">
        <v>1339</v>
      </c>
      <c r="F171" t="s">
        <v>1340</v>
      </c>
      <c r="G171" t="s">
        <v>570</v>
      </c>
      <c r="H171" t="s">
        <v>571</v>
      </c>
      <c r="I171" t="s">
        <v>1261</v>
      </c>
      <c r="J171">
        <v>2022</v>
      </c>
      <c r="K171">
        <v>156</v>
      </c>
      <c r="L171" t="s">
        <v>32</v>
      </c>
      <c r="M171" t="s">
        <v>1341</v>
      </c>
      <c r="N171" t="str">
        <f>HYPERLINK("http://dx.doi.org/10.1016/j.chaos.2022.111818","http://dx.doi.org/10.1016/j.chaos.2022.111818")</f>
        <v>http://dx.doi.org/10.1016/j.chaos.2022.111818</v>
      </c>
      <c r="O171" t="s">
        <v>1342</v>
      </c>
      <c r="P171" t="str">
        <f>HYPERLINK("https%3A%2F%2Fwww.webofscience.com%2Fwos%2Fwoscc%2Ffull-record%2FWOS:000782110200012","View Full Record in Web of Science")</f>
        <v>View Full Record in Web of Science</v>
      </c>
    </row>
    <row r="172" spans="1:16" x14ac:dyDescent="0.25">
      <c r="A172" t="s">
        <v>1343</v>
      </c>
      <c r="B172" t="s">
        <v>1344</v>
      </c>
      <c r="C172" t="s">
        <v>1345</v>
      </c>
      <c r="D172" t="s">
        <v>410</v>
      </c>
      <c r="E172" t="s">
        <v>90</v>
      </c>
      <c r="F172" t="s">
        <v>1346</v>
      </c>
      <c r="G172" t="s">
        <v>413</v>
      </c>
      <c r="H172" t="s">
        <v>414</v>
      </c>
      <c r="I172" t="s">
        <v>964</v>
      </c>
      <c r="J172">
        <v>2022</v>
      </c>
      <c r="K172">
        <v>54</v>
      </c>
      <c r="L172">
        <v>5</v>
      </c>
      <c r="M172" t="s">
        <v>1347</v>
      </c>
      <c r="N172" t="str">
        <f>HYPERLINK("http://dx.doi.org/10.1007/s11082-022-03640-9","http://dx.doi.org/10.1007/s11082-022-03640-9")</f>
        <v>http://dx.doi.org/10.1007/s11082-022-03640-9</v>
      </c>
      <c r="O172" t="s">
        <v>1348</v>
      </c>
      <c r="P172" t="str">
        <f>HYPERLINK("https%3A%2F%2Fwww.webofscience.com%2Fwos%2Fwoscc%2Ffull-record%2FWOS:000783044000012","View Full Record in Web of Science")</f>
        <v>View Full Record in Web of Science</v>
      </c>
    </row>
    <row r="173" spans="1:16" x14ac:dyDescent="0.25">
      <c r="A173" t="s">
        <v>838</v>
      </c>
      <c r="B173" t="s">
        <v>839</v>
      </c>
      <c r="C173" t="s">
        <v>1349</v>
      </c>
      <c r="D173" t="s">
        <v>410</v>
      </c>
      <c r="E173" t="s">
        <v>1350</v>
      </c>
      <c r="F173" t="s">
        <v>1351</v>
      </c>
      <c r="G173" t="s">
        <v>413</v>
      </c>
      <c r="H173" t="s">
        <v>414</v>
      </c>
      <c r="I173" t="s">
        <v>740</v>
      </c>
      <c r="J173">
        <v>2022</v>
      </c>
      <c r="K173">
        <v>54</v>
      </c>
      <c r="L173">
        <v>4</v>
      </c>
      <c r="M173" t="s">
        <v>1352</v>
      </c>
      <c r="N173" t="str">
        <f>HYPERLINK("http://dx.doi.org/10.1007/s11082-022-03599-7","http://dx.doi.org/10.1007/s11082-022-03599-7")</f>
        <v>http://dx.doi.org/10.1007/s11082-022-03599-7</v>
      </c>
      <c r="O173" t="s">
        <v>1353</v>
      </c>
      <c r="P173" t="str">
        <f>HYPERLINK("https%3A%2F%2Fwww.webofscience.com%2Fwos%2Fwoscc%2Ffull-record%2FWOS:000776243000001","View Full Record in Web of Science")</f>
        <v>View Full Record in Web of Science</v>
      </c>
    </row>
    <row r="174" spans="1:16" x14ac:dyDescent="0.25">
      <c r="A174" t="s">
        <v>838</v>
      </c>
      <c r="B174" t="s">
        <v>839</v>
      </c>
      <c r="C174" t="s">
        <v>1349</v>
      </c>
      <c r="D174" t="s">
        <v>410</v>
      </c>
      <c r="E174" t="s">
        <v>1350</v>
      </c>
      <c r="F174" t="s">
        <v>1351</v>
      </c>
      <c r="G174" t="s">
        <v>413</v>
      </c>
      <c r="H174" t="s">
        <v>414</v>
      </c>
      <c r="I174" t="s">
        <v>740</v>
      </c>
      <c r="J174">
        <v>2022</v>
      </c>
      <c r="K174">
        <v>54</v>
      </c>
      <c r="L174">
        <v>4</v>
      </c>
      <c r="M174" t="s">
        <v>1354</v>
      </c>
      <c r="N174" t="str">
        <f>HYPERLINK("http://dx.doi.org/10.1007/s11082-022-03613-y","http://dx.doi.org/10.1007/s11082-022-03613-y")</f>
        <v>http://dx.doi.org/10.1007/s11082-022-03613-y</v>
      </c>
      <c r="O174" t="s">
        <v>1355</v>
      </c>
      <c r="P174" t="str">
        <f>HYPERLINK("https%3A%2F%2Fwww.webofscience.com%2Fwos%2Fwoscc%2Ffull-record%2FWOS:000771563500007","View Full Record in Web of Science")</f>
        <v>View Full Record in Web of Science</v>
      </c>
    </row>
    <row r="175" spans="1:16" x14ac:dyDescent="0.25">
      <c r="A175" t="s">
        <v>1356</v>
      </c>
      <c r="B175" t="s">
        <v>1357</v>
      </c>
      <c r="C175" t="s">
        <v>1358</v>
      </c>
      <c r="D175" t="s">
        <v>1359</v>
      </c>
      <c r="E175" t="s">
        <v>1360</v>
      </c>
      <c r="F175" t="s">
        <v>1361</v>
      </c>
      <c r="G175" t="s">
        <v>1362</v>
      </c>
      <c r="H175" t="s">
        <v>1363</v>
      </c>
      <c r="I175" t="s">
        <v>45</v>
      </c>
      <c r="J175">
        <v>2022</v>
      </c>
      <c r="K175">
        <v>31</v>
      </c>
      <c r="L175">
        <v>3</v>
      </c>
      <c r="M175" t="s">
        <v>1364</v>
      </c>
      <c r="N175" t="str">
        <f>HYPERLINK("http://dx.doi.org/10.1142/S0218863522500114","http://dx.doi.org/10.1142/S0218863522500114")</f>
        <v>http://dx.doi.org/10.1142/S0218863522500114</v>
      </c>
      <c r="O175" t="s">
        <v>1365</v>
      </c>
      <c r="P175" t="str">
        <f>HYPERLINK("https%3A%2F%2Fwww.webofscience.com%2Fwos%2Fwoscc%2Ffull-record%2FWOS:000780101900004","View Full Record in Web of Science")</f>
        <v>View Full Record in Web of Science</v>
      </c>
    </row>
    <row r="176" spans="1:16" x14ac:dyDescent="0.25">
      <c r="A176" t="s">
        <v>1366</v>
      </c>
      <c r="B176" t="s">
        <v>1367</v>
      </c>
      <c r="C176" t="s">
        <v>1368</v>
      </c>
      <c r="D176" t="s">
        <v>455</v>
      </c>
      <c r="E176" t="s">
        <v>841</v>
      </c>
      <c r="F176" t="s">
        <v>842</v>
      </c>
      <c r="G176" t="s">
        <v>458</v>
      </c>
      <c r="H176" t="s">
        <v>32</v>
      </c>
      <c r="I176" t="s">
        <v>1369</v>
      </c>
      <c r="J176">
        <v>2022</v>
      </c>
      <c r="K176">
        <v>137</v>
      </c>
      <c r="L176">
        <v>4</v>
      </c>
      <c r="M176" t="s">
        <v>1370</v>
      </c>
      <c r="N176" t="str">
        <f>HYPERLINK("http://dx.doi.org/10.1140/epjp/s13360-022-02689-5","http://dx.doi.org/10.1140/epjp/s13360-022-02689-5")</f>
        <v>http://dx.doi.org/10.1140/epjp/s13360-022-02689-5</v>
      </c>
      <c r="O176" t="s">
        <v>1371</v>
      </c>
      <c r="P176" t="str">
        <f>HYPERLINK("https%3A%2F%2Fwww.webofscience.com%2Fwos%2Fwoscc%2Ffull-record%2FWOS:000782600600001","View Full Record in Web of Science")</f>
        <v>View Full Record in Web of Science</v>
      </c>
    </row>
    <row r="177" spans="1:16" x14ac:dyDescent="0.25">
      <c r="A177" t="s">
        <v>1372</v>
      </c>
      <c r="B177" t="s">
        <v>1373</v>
      </c>
      <c r="C177" t="s">
        <v>1374</v>
      </c>
      <c r="D177" t="s">
        <v>1375</v>
      </c>
      <c r="E177" t="s">
        <v>1376</v>
      </c>
      <c r="F177" t="s">
        <v>1377</v>
      </c>
      <c r="G177" t="s">
        <v>1378</v>
      </c>
      <c r="H177" t="s">
        <v>1379</v>
      </c>
      <c r="I177" t="s">
        <v>1380</v>
      </c>
      <c r="J177">
        <v>2022</v>
      </c>
      <c r="K177" t="s">
        <v>32</v>
      </c>
      <c r="L177" t="s">
        <v>32</v>
      </c>
      <c r="M177" t="s">
        <v>1381</v>
      </c>
      <c r="N177" t="str">
        <f>HYPERLINK("http://dx.doi.org/10.1080/17455030.2022.2057613","http://dx.doi.org/10.1080/17455030.2022.2057613")</f>
        <v>http://dx.doi.org/10.1080/17455030.2022.2057613</v>
      </c>
      <c r="O177" t="s">
        <v>1382</v>
      </c>
      <c r="P177" t="str">
        <f>HYPERLINK("https%3A%2F%2Fwww.webofscience.com%2Fwos%2Fwoscc%2Ffull-record%2FWOS:000777953500001","View Full Record in Web of Science")</f>
        <v>View Full Record in Web of Science</v>
      </c>
    </row>
    <row r="178" spans="1:16" x14ac:dyDescent="0.25">
      <c r="A178" t="s">
        <v>1383</v>
      </c>
      <c r="B178" t="s">
        <v>1384</v>
      </c>
      <c r="C178" t="s">
        <v>1385</v>
      </c>
      <c r="D178" t="s">
        <v>465</v>
      </c>
      <c r="E178" t="s">
        <v>1386</v>
      </c>
      <c r="F178" t="s">
        <v>1387</v>
      </c>
      <c r="G178" t="s">
        <v>468</v>
      </c>
      <c r="H178" t="s">
        <v>469</v>
      </c>
      <c r="I178" t="s">
        <v>1388</v>
      </c>
      <c r="J178">
        <v>2022</v>
      </c>
      <c r="K178">
        <v>97</v>
      </c>
      <c r="L178">
        <v>5</v>
      </c>
      <c r="M178" t="s">
        <v>1389</v>
      </c>
      <c r="N178" t="str">
        <f>HYPERLINK("http://dx.doi.org/10.1088/1402-4896/ac5f25","http://dx.doi.org/10.1088/1402-4896/ac5f25")</f>
        <v>http://dx.doi.org/10.1088/1402-4896/ac5f25</v>
      </c>
      <c r="O178" t="s">
        <v>1390</v>
      </c>
      <c r="P178" t="str">
        <f>HYPERLINK("https%3A%2F%2Fwww.webofscience.com%2Fwos%2Fwoscc%2Ffull-record%2FWOS:000777016200001","View Full Record in Web of Science")</f>
        <v>View Full Record in Web of Science</v>
      </c>
    </row>
    <row r="179" spans="1:16" x14ac:dyDescent="0.25">
      <c r="A179" t="s">
        <v>1391</v>
      </c>
      <c r="B179" t="s">
        <v>1392</v>
      </c>
      <c r="C179" t="s">
        <v>1393</v>
      </c>
      <c r="D179" t="s">
        <v>1394</v>
      </c>
      <c r="E179" t="s">
        <v>32</v>
      </c>
      <c r="F179" t="s">
        <v>1395</v>
      </c>
      <c r="G179" t="s">
        <v>1396</v>
      </c>
      <c r="H179" t="s">
        <v>1397</v>
      </c>
      <c r="I179" t="s">
        <v>93</v>
      </c>
      <c r="J179">
        <v>2022</v>
      </c>
      <c r="K179">
        <v>23</v>
      </c>
      <c r="L179" t="s">
        <v>1398</v>
      </c>
      <c r="M179" t="s">
        <v>1399</v>
      </c>
      <c r="N179" t="str">
        <f>HYPERLINK("http://dx.doi.org/10.1038/s41435-022-00167-7","http://dx.doi.org/10.1038/s41435-022-00167-7")</f>
        <v>http://dx.doi.org/10.1038/s41435-022-00167-7</v>
      </c>
      <c r="O179" t="s">
        <v>1400</v>
      </c>
      <c r="P179" t="str">
        <f>HYPERLINK("https%3A%2F%2Fwww.webofscience.com%2Fwos%2Fwoscc%2Ffull-record%2FWOS:000773170200001","View Full Record in Web of Science")</f>
        <v>View Full Record in Web of Science</v>
      </c>
    </row>
    <row r="180" spans="1:16" x14ac:dyDescent="0.25">
      <c r="A180" t="s">
        <v>1401</v>
      </c>
      <c r="B180" t="s">
        <v>1402</v>
      </c>
      <c r="C180" t="s">
        <v>1403</v>
      </c>
      <c r="D180" t="s">
        <v>410</v>
      </c>
      <c r="E180" t="s">
        <v>1404</v>
      </c>
      <c r="F180" t="s">
        <v>1028</v>
      </c>
      <c r="G180" t="s">
        <v>413</v>
      </c>
      <c r="H180" t="s">
        <v>414</v>
      </c>
      <c r="I180" t="s">
        <v>740</v>
      </c>
      <c r="J180">
        <v>2022</v>
      </c>
      <c r="K180">
        <v>54</v>
      </c>
      <c r="L180">
        <v>4</v>
      </c>
      <c r="M180" t="s">
        <v>1405</v>
      </c>
      <c r="N180" t="str">
        <f>HYPERLINK("http://dx.doi.org/10.1007/s11082-022-03639-2","http://dx.doi.org/10.1007/s11082-022-03639-2")</f>
        <v>http://dx.doi.org/10.1007/s11082-022-03639-2</v>
      </c>
      <c r="O180" t="s">
        <v>1406</v>
      </c>
      <c r="P180" t="str">
        <f>HYPERLINK("https%3A%2F%2Fwww.webofscience.com%2Fwos%2Fwoscc%2Ffull-record%2FWOS:000771563500004","View Full Record in Web of Science")</f>
        <v>View Full Record in Web of Science</v>
      </c>
    </row>
    <row r="181" spans="1:16" x14ac:dyDescent="0.25">
      <c r="A181" t="s">
        <v>1407</v>
      </c>
      <c r="B181" t="s">
        <v>1408</v>
      </c>
      <c r="C181" t="s">
        <v>1409</v>
      </c>
      <c r="D181" t="s">
        <v>1410</v>
      </c>
      <c r="E181" t="s">
        <v>1411</v>
      </c>
      <c r="F181" t="s">
        <v>1412</v>
      </c>
      <c r="G181" t="s">
        <v>1413</v>
      </c>
      <c r="H181" t="s">
        <v>32</v>
      </c>
      <c r="I181" t="s">
        <v>32</v>
      </c>
      <c r="J181">
        <v>2022</v>
      </c>
      <c r="K181">
        <v>26</v>
      </c>
      <c r="L181">
        <v>4</v>
      </c>
      <c r="M181" t="s">
        <v>1414</v>
      </c>
      <c r="N181" t="str">
        <f>HYPERLINK("http://dx.doi.org/10.22436/jmcs.026.04.02","http://dx.doi.org/10.22436/jmcs.026.04.02")</f>
        <v>http://dx.doi.org/10.22436/jmcs.026.04.02</v>
      </c>
      <c r="O181" t="s">
        <v>1415</v>
      </c>
      <c r="P181" t="str">
        <f>HYPERLINK("https%3A%2F%2Fwww.webofscience.com%2Fwos%2Fwoscc%2Ffull-record%2FWOS:000768311700002","View Full Record in Web of Science")</f>
        <v>View Full Record in Web of Science</v>
      </c>
    </row>
    <row r="182" spans="1:16" x14ac:dyDescent="0.25">
      <c r="A182" t="s">
        <v>1416</v>
      </c>
      <c r="B182" t="s">
        <v>1417</v>
      </c>
      <c r="C182" t="s">
        <v>1418</v>
      </c>
      <c r="D182" t="s">
        <v>410</v>
      </c>
      <c r="E182" t="s">
        <v>1350</v>
      </c>
      <c r="F182" t="s">
        <v>1351</v>
      </c>
      <c r="G182" t="s">
        <v>413</v>
      </c>
      <c r="H182" t="s">
        <v>414</v>
      </c>
      <c r="I182" t="s">
        <v>1261</v>
      </c>
      <c r="J182">
        <v>2022</v>
      </c>
      <c r="K182">
        <v>54</v>
      </c>
      <c r="L182">
        <v>3</v>
      </c>
      <c r="M182" t="s">
        <v>1419</v>
      </c>
      <c r="N182" t="str">
        <f>HYPERLINK("http://dx.doi.org/10.1007/s11082-022-03554-6","http://dx.doi.org/10.1007/s11082-022-03554-6")</f>
        <v>http://dx.doi.org/10.1007/s11082-022-03554-6</v>
      </c>
      <c r="O182" t="s">
        <v>1420</v>
      </c>
      <c r="P182" t="str">
        <f>HYPERLINK("https%3A%2F%2Fwww.webofscience.com%2Fwos%2Fwoscc%2Ffull-record%2FWOS:000761330000002","View Full Record in Web of Science")</f>
        <v>View Full Record in Web of Science</v>
      </c>
    </row>
    <row r="183" spans="1:16" x14ac:dyDescent="0.25">
      <c r="A183" t="s">
        <v>1421</v>
      </c>
      <c r="B183" t="s">
        <v>1422</v>
      </c>
      <c r="C183" t="s">
        <v>1423</v>
      </c>
      <c r="D183" t="s">
        <v>1152</v>
      </c>
      <c r="E183" t="s">
        <v>1424</v>
      </c>
      <c r="F183" t="s">
        <v>1425</v>
      </c>
      <c r="G183" t="s">
        <v>32</v>
      </c>
      <c r="H183" t="s">
        <v>1155</v>
      </c>
      <c r="I183" t="s">
        <v>32</v>
      </c>
      <c r="J183">
        <v>2022</v>
      </c>
      <c r="K183">
        <v>7</v>
      </c>
      <c r="L183">
        <v>5</v>
      </c>
      <c r="M183" t="s">
        <v>1426</v>
      </c>
      <c r="N183" t="str">
        <f>HYPERLINK("http://dx.doi.org/10.3934/math.2022469","http://dx.doi.org/10.3934/math.2022469")</f>
        <v>http://dx.doi.org/10.3934/math.2022469</v>
      </c>
      <c r="O183" t="s">
        <v>1427</v>
      </c>
      <c r="P183" t="str">
        <f>HYPERLINK("https%3A%2F%2Fwww.webofscience.com%2Fwos%2Fwoscc%2Ffull-record%2FWOS:000767329700007","View Full Record in Web of Science")</f>
        <v>View Full Record in Web of Science</v>
      </c>
    </row>
    <row r="184" spans="1:16" x14ac:dyDescent="0.25">
      <c r="A184" t="s">
        <v>1428</v>
      </c>
      <c r="B184" t="s">
        <v>1429</v>
      </c>
      <c r="C184" t="s">
        <v>1430</v>
      </c>
      <c r="D184" t="s">
        <v>577</v>
      </c>
      <c r="E184" t="s">
        <v>32</v>
      </c>
      <c r="F184" t="s">
        <v>32</v>
      </c>
      <c r="G184" t="s">
        <v>580</v>
      </c>
      <c r="H184" t="s">
        <v>581</v>
      </c>
      <c r="I184" t="s">
        <v>1286</v>
      </c>
      <c r="J184">
        <v>2022</v>
      </c>
      <c r="K184">
        <v>30</v>
      </c>
      <c r="L184">
        <v>1</v>
      </c>
      <c r="M184" t="s">
        <v>1431</v>
      </c>
      <c r="N184" t="str">
        <f>HYPERLINK("http://dx.doi.org/10.1142/S0218348X22400400","http://dx.doi.org/10.1142/S0218348X22400400")</f>
        <v>http://dx.doi.org/10.1142/S0218348X22400400</v>
      </c>
      <c r="O184" t="s">
        <v>1432</v>
      </c>
      <c r="P184" t="str">
        <f>HYPERLINK("https%3A%2F%2Fwww.webofscience.com%2Fwos%2Fwoscc%2Ffull-record%2FWOS:000766635200042","View Full Record in Web of Science")</f>
        <v>View Full Record in Web of Science</v>
      </c>
    </row>
    <row r="185" spans="1:16" x14ac:dyDescent="0.25">
      <c r="A185" t="s">
        <v>1433</v>
      </c>
      <c r="B185" t="s">
        <v>1434</v>
      </c>
      <c r="C185" t="s">
        <v>1435</v>
      </c>
      <c r="D185" t="s">
        <v>577</v>
      </c>
      <c r="E185" t="s">
        <v>1436</v>
      </c>
      <c r="F185" t="s">
        <v>579</v>
      </c>
      <c r="G185" t="s">
        <v>580</v>
      </c>
      <c r="H185" t="s">
        <v>581</v>
      </c>
      <c r="I185" t="s">
        <v>1286</v>
      </c>
      <c r="J185">
        <v>2022</v>
      </c>
      <c r="K185">
        <v>30</v>
      </c>
      <c r="L185">
        <v>1</v>
      </c>
      <c r="M185" t="s">
        <v>1437</v>
      </c>
      <c r="N185" t="str">
        <f>HYPERLINK("http://dx.doi.org/10.1142/S0218348X22400230","http://dx.doi.org/10.1142/S0218348X22400230")</f>
        <v>http://dx.doi.org/10.1142/S0218348X22400230</v>
      </c>
      <c r="O185" t="s">
        <v>1438</v>
      </c>
      <c r="P185" t="str">
        <f>HYPERLINK("https%3A%2F%2Fwww.webofscience.com%2Fwos%2Fwoscc%2Ffull-record%2FWOS:000766635200079","View Full Record in Web of Science")</f>
        <v>View Full Record in Web of Science</v>
      </c>
    </row>
    <row r="186" spans="1:16" x14ac:dyDescent="0.25">
      <c r="A186" t="s">
        <v>1439</v>
      </c>
      <c r="B186" t="s">
        <v>1440</v>
      </c>
      <c r="C186" t="s">
        <v>1441</v>
      </c>
      <c r="D186" t="s">
        <v>577</v>
      </c>
      <c r="E186" t="s">
        <v>1442</v>
      </c>
      <c r="F186" t="s">
        <v>1443</v>
      </c>
      <c r="G186" t="s">
        <v>580</v>
      </c>
      <c r="H186" t="s">
        <v>581</v>
      </c>
      <c r="I186" t="s">
        <v>1286</v>
      </c>
      <c r="J186">
        <v>2022</v>
      </c>
      <c r="K186">
        <v>30</v>
      </c>
      <c r="L186">
        <v>1</v>
      </c>
      <c r="M186" t="s">
        <v>1444</v>
      </c>
      <c r="N186" t="str">
        <f>HYPERLINK("http://dx.doi.org/10.1142/S0218348X22400503","http://dx.doi.org/10.1142/S0218348X22400503")</f>
        <v>http://dx.doi.org/10.1142/S0218348X22400503</v>
      </c>
      <c r="O186" t="s">
        <v>1445</v>
      </c>
      <c r="P186" t="str">
        <f>HYPERLINK("https%3A%2F%2Fwww.webofscience.com%2Fwos%2Fwoscc%2Ffull-record%2FWOS:000766635200072","View Full Record in Web of Science")</f>
        <v>View Full Record in Web of Science</v>
      </c>
    </row>
    <row r="187" spans="1:16" x14ac:dyDescent="0.25">
      <c r="A187" t="s">
        <v>1446</v>
      </c>
      <c r="B187" t="s">
        <v>1447</v>
      </c>
      <c r="C187" t="s">
        <v>1448</v>
      </c>
      <c r="D187" t="s">
        <v>1449</v>
      </c>
      <c r="E187" t="s">
        <v>1450</v>
      </c>
      <c r="F187" t="s">
        <v>1451</v>
      </c>
      <c r="G187" t="s">
        <v>1452</v>
      </c>
      <c r="H187" t="s">
        <v>1453</v>
      </c>
      <c r="I187" t="s">
        <v>32</v>
      </c>
      <c r="J187">
        <v>2022</v>
      </c>
      <c r="K187">
        <v>21</v>
      </c>
      <c r="L187">
        <v>1</v>
      </c>
      <c r="M187" t="s">
        <v>1454</v>
      </c>
      <c r="N187" t="str">
        <f>HYPERLINK("http://dx.doi.org/10.17512/jamcm.2022.1.05","http://dx.doi.org/10.17512/jamcm.2022.1.05")</f>
        <v>http://dx.doi.org/10.17512/jamcm.2022.1.05</v>
      </c>
      <c r="O187" t="s">
        <v>1455</v>
      </c>
      <c r="P187" t="str">
        <f>HYPERLINK("https%3A%2F%2Fwww.webofscience.com%2Fwos%2Fwoscc%2Ffull-record%2FWOS:000766628800001","View Full Record in Web of Science")</f>
        <v>View Full Record in Web of Science</v>
      </c>
    </row>
    <row r="188" spans="1:16" x14ac:dyDescent="0.25">
      <c r="A188" t="s">
        <v>1456</v>
      </c>
      <c r="B188" t="s">
        <v>1457</v>
      </c>
      <c r="C188" t="s">
        <v>1458</v>
      </c>
      <c r="D188" t="s">
        <v>1152</v>
      </c>
      <c r="E188" t="s">
        <v>1459</v>
      </c>
      <c r="F188" t="s">
        <v>1460</v>
      </c>
      <c r="G188" t="s">
        <v>32</v>
      </c>
      <c r="H188" t="s">
        <v>1155</v>
      </c>
      <c r="I188" t="s">
        <v>32</v>
      </c>
      <c r="J188">
        <v>2022</v>
      </c>
      <c r="K188">
        <v>7</v>
      </c>
      <c r="L188">
        <v>5</v>
      </c>
      <c r="M188" t="s">
        <v>1461</v>
      </c>
      <c r="N188" t="str">
        <f>HYPERLINK("http://dx.doi.org/10.3934/math.2022492","http://dx.doi.org/10.3934/math.2022492")</f>
        <v>http://dx.doi.org/10.3934/math.2022492</v>
      </c>
      <c r="O188" t="s">
        <v>1462</v>
      </c>
      <c r="P188" t="str">
        <f>HYPERLINK("https%3A%2F%2Fwww.webofscience.com%2Fwos%2Fwoscc%2Ffull-record%2FWOS:000766225500003","View Full Record in Web of Science")</f>
        <v>View Full Record in Web of Science</v>
      </c>
    </row>
    <row r="189" spans="1:16" x14ac:dyDescent="0.25">
      <c r="A189" t="s">
        <v>1463</v>
      </c>
      <c r="B189" t="s">
        <v>1464</v>
      </c>
      <c r="C189" t="s">
        <v>1465</v>
      </c>
      <c r="D189" t="s">
        <v>1466</v>
      </c>
      <c r="E189" t="s">
        <v>32</v>
      </c>
      <c r="F189" t="s">
        <v>32</v>
      </c>
      <c r="G189" t="s">
        <v>1467</v>
      </c>
      <c r="H189" t="s">
        <v>1468</v>
      </c>
      <c r="I189" t="s">
        <v>1286</v>
      </c>
      <c r="J189">
        <v>2022</v>
      </c>
      <c r="K189">
        <v>22</v>
      </c>
      <c r="L189">
        <v>1</v>
      </c>
      <c r="M189" t="s">
        <v>1469</v>
      </c>
      <c r="N189" t="str">
        <f>HYPERLINK("http://dx.doi.org/10.1142/S0219519422500051","http://dx.doi.org/10.1142/S0219519422500051")</f>
        <v>http://dx.doi.org/10.1142/S0219519422500051</v>
      </c>
      <c r="O189" t="s">
        <v>1470</v>
      </c>
      <c r="P189" t="str">
        <f>HYPERLINK("https%3A%2F%2Fwww.webofscience.com%2Fwos%2Fwoscc%2Ffull-record%2FWOS:000764099100008","View Full Record in Web of Science")</f>
        <v>View Full Record in Web of Science</v>
      </c>
    </row>
    <row r="190" spans="1:16" x14ac:dyDescent="0.25">
      <c r="A190" t="s">
        <v>1471</v>
      </c>
      <c r="B190" t="s">
        <v>1472</v>
      </c>
      <c r="C190" t="s">
        <v>1473</v>
      </c>
      <c r="D190" t="s">
        <v>1474</v>
      </c>
      <c r="E190" t="s">
        <v>1475</v>
      </c>
      <c r="F190" t="s">
        <v>1476</v>
      </c>
      <c r="G190" t="s">
        <v>1477</v>
      </c>
      <c r="H190" t="s">
        <v>1478</v>
      </c>
      <c r="I190" t="s">
        <v>1479</v>
      </c>
      <c r="J190">
        <v>2022</v>
      </c>
      <c r="K190">
        <v>2022</v>
      </c>
      <c r="L190" t="s">
        <v>32</v>
      </c>
      <c r="M190" t="s">
        <v>1480</v>
      </c>
      <c r="N190" t="str">
        <f>HYPERLINK("http://dx.doi.org/10.1155/2022/2196913","http://dx.doi.org/10.1155/2022/2196913")</f>
        <v>http://dx.doi.org/10.1155/2022/2196913</v>
      </c>
      <c r="O190" t="s">
        <v>1481</v>
      </c>
      <c r="P190" t="str">
        <f>HYPERLINK("https%3A%2F%2Fwww.webofscience.com%2Fwos%2Fwoscc%2Ffull-record%2FWOS:000766956100001","View Full Record in Web of Science")</f>
        <v>View Full Record in Web of Science</v>
      </c>
    </row>
    <row r="191" spans="1:16" x14ac:dyDescent="0.25">
      <c r="A191" t="s">
        <v>1482</v>
      </c>
      <c r="B191" t="s">
        <v>1483</v>
      </c>
      <c r="C191" t="s">
        <v>1484</v>
      </c>
      <c r="D191" t="s">
        <v>1485</v>
      </c>
      <c r="E191" t="s">
        <v>1486</v>
      </c>
      <c r="F191" t="s">
        <v>1487</v>
      </c>
      <c r="G191" t="s">
        <v>1488</v>
      </c>
      <c r="H191" t="s">
        <v>1489</v>
      </c>
      <c r="I191" t="s">
        <v>1490</v>
      </c>
      <c r="J191">
        <v>2022</v>
      </c>
      <c r="K191" t="s">
        <v>32</v>
      </c>
      <c r="L191" t="s">
        <v>32</v>
      </c>
      <c r="M191" t="s">
        <v>1491</v>
      </c>
      <c r="N191" t="str">
        <f>HYPERLINK("http://dx.doi.org/10.1140/epjs/s11734-022-00476-y","http://dx.doi.org/10.1140/epjs/s11734-022-00476-y")</f>
        <v>http://dx.doi.org/10.1140/epjs/s11734-022-00476-y</v>
      </c>
      <c r="O191" t="s">
        <v>1492</v>
      </c>
      <c r="P191" t="str">
        <f>HYPERLINK("https%3A%2F%2Fwww.webofscience.com%2Fwos%2Fwoscc%2Ffull-record%2FWOS:000759020600002","View Full Record in Web of Science")</f>
        <v>View Full Record in Web of Science</v>
      </c>
    </row>
    <row r="192" spans="1:16" x14ac:dyDescent="0.25">
      <c r="A192" t="s">
        <v>1493</v>
      </c>
      <c r="B192" t="s">
        <v>1494</v>
      </c>
      <c r="C192" t="s">
        <v>1495</v>
      </c>
      <c r="D192" t="s">
        <v>1152</v>
      </c>
      <c r="E192" t="s">
        <v>1496</v>
      </c>
      <c r="F192" t="s">
        <v>1497</v>
      </c>
      <c r="G192" t="s">
        <v>32</v>
      </c>
      <c r="H192" t="s">
        <v>1155</v>
      </c>
      <c r="I192" t="s">
        <v>32</v>
      </c>
      <c r="J192">
        <v>2022</v>
      </c>
      <c r="K192">
        <v>7</v>
      </c>
      <c r="L192">
        <v>5</v>
      </c>
      <c r="M192" t="s">
        <v>1498</v>
      </c>
      <c r="N192" t="str">
        <f>HYPERLINK("http://dx.doi.org/10.3934/math.2022462","http://dx.doi.org/10.3934/math.2022462")</f>
        <v>http://dx.doi.org/10.3934/math.2022462</v>
      </c>
      <c r="O192" t="s">
        <v>1499</v>
      </c>
      <c r="P192" t="str">
        <f>HYPERLINK("https%3A%2F%2Fwww.webofscience.com%2Fwos%2Fwoscc%2Ffull-record%2FWOS:000762976400002","View Full Record in Web of Science")</f>
        <v>View Full Record in Web of Science</v>
      </c>
    </row>
    <row r="193" spans="1:16" x14ac:dyDescent="0.25">
      <c r="A193" t="s">
        <v>1500</v>
      </c>
      <c r="B193" t="s">
        <v>1501</v>
      </c>
      <c r="C193" t="s">
        <v>1502</v>
      </c>
      <c r="D193" t="s">
        <v>1503</v>
      </c>
      <c r="E193" t="s">
        <v>900</v>
      </c>
      <c r="F193" t="s">
        <v>1504</v>
      </c>
      <c r="G193" t="s">
        <v>1505</v>
      </c>
      <c r="H193" t="s">
        <v>1506</v>
      </c>
      <c r="I193" t="s">
        <v>170</v>
      </c>
      <c r="J193">
        <v>2022</v>
      </c>
      <c r="K193">
        <v>96</v>
      </c>
      <c r="L193">
        <v>13</v>
      </c>
      <c r="M193" t="s">
        <v>1507</v>
      </c>
      <c r="N193" t="str">
        <f>HYPERLINK("http://dx.doi.org/10.1007/s12648-022-02304-4","http://dx.doi.org/10.1007/s12648-022-02304-4")</f>
        <v>http://dx.doi.org/10.1007/s12648-022-02304-4</v>
      </c>
      <c r="O193" t="s">
        <v>1508</v>
      </c>
      <c r="P193" t="str">
        <f>HYPERLINK("https%3A%2F%2Fwww.webofscience.com%2Fwos%2Fwoscc%2Ffull-record%2FWOS:000761833600001","View Full Record in Web of Science")</f>
        <v>View Full Record in Web of Science</v>
      </c>
    </row>
    <row r="194" spans="1:16" x14ac:dyDescent="0.25">
      <c r="A194" t="s">
        <v>1509</v>
      </c>
      <c r="B194" t="s">
        <v>1510</v>
      </c>
      <c r="C194" t="s">
        <v>1511</v>
      </c>
      <c r="D194" t="s">
        <v>1152</v>
      </c>
      <c r="E194" t="s">
        <v>1512</v>
      </c>
      <c r="F194" t="s">
        <v>1513</v>
      </c>
      <c r="G194" t="s">
        <v>32</v>
      </c>
      <c r="H194" t="s">
        <v>1155</v>
      </c>
      <c r="I194" t="s">
        <v>32</v>
      </c>
      <c r="J194">
        <v>2022</v>
      </c>
      <c r="K194">
        <v>7</v>
      </c>
      <c r="L194">
        <v>4</v>
      </c>
      <c r="M194" t="s">
        <v>1514</v>
      </c>
      <c r="N194" t="str">
        <f>HYPERLINK("http://dx.doi.org/10.3934/math.2022392","http://dx.doi.org/10.3934/math.2022392")</f>
        <v>http://dx.doi.org/10.3934/math.2022392</v>
      </c>
      <c r="O194" t="s">
        <v>1515</v>
      </c>
      <c r="P194" t="str">
        <f>HYPERLINK("https%3A%2F%2Fwww.webofscience.com%2Fwos%2Fwoscc%2Ffull-record%2FWOS:000756576800019","View Full Record in Web of Science")</f>
        <v>View Full Record in Web of Science</v>
      </c>
    </row>
    <row r="195" spans="1:16" x14ac:dyDescent="0.25">
      <c r="A195" t="s">
        <v>1516</v>
      </c>
      <c r="B195" t="s">
        <v>1517</v>
      </c>
      <c r="C195" t="s">
        <v>1518</v>
      </c>
      <c r="D195" t="s">
        <v>1519</v>
      </c>
      <c r="E195" t="s">
        <v>1520</v>
      </c>
      <c r="F195" t="s">
        <v>1521</v>
      </c>
      <c r="G195" t="s">
        <v>1522</v>
      </c>
      <c r="H195" t="s">
        <v>1523</v>
      </c>
      <c r="I195" t="s">
        <v>1369</v>
      </c>
      <c r="J195">
        <v>2022</v>
      </c>
      <c r="K195">
        <v>271</v>
      </c>
      <c r="L195" t="s">
        <v>32</v>
      </c>
      <c r="M195" t="s">
        <v>1524</v>
      </c>
      <c r="N195" t="str">
        <f>HYPERLINK("http://dx.doi.org/10.1016/j.saa.2022.120884","http://dx.doi.org/10.1016/j.saa.2022.120884")</f>
        <v>http://dx.doi.org/10.1016/j.saa.2022.120884</v>
      </c>
      <c r="O195" t="s">
        <v>1525</v>
      </c>
      <c r="P195" t="str">
        <f>HYPERLINK("https%3A%2F%2Fwww.webofscience.com%2Fwos%2Fwoscc%2Ffull-record%2FWOS:000751821100004","View Full Record in Web of Science")</f>
        <v>View Full Record in Web of Science</v>
      </c>
    </row>
    <row r="196" spans="1:16" x14ac:dyDescent="0.25">
      <c r="A196" t="s">
        <v>1526</v>
      </c>
      <c r="B196" t="s">
        <v>1527</v>
      </c>
      <c r="C196" t="s">
        <v>1528</v>
      </c>
      <c r="D196" t="s">
        <v>1485</v>
      </c>
      <c r="E196" t="s">
        <v>1529</v>
      </c>
      <c r="F196" t="s">
        <v>1530</v>
      </c>
      <c r="G196" t="s">
        <v>1488</v>
      </c>
      <c r="H196" t="s">
        <v>1489</v>
      </c>
      <c r="I196" t="s">
        <v>449</v>
      </c>
      <c r="J196">
        <v>2022</v>
      </c>
      <c r="K196">
        <v>231</v>
      </c>
      <c r="L196">
        <v>10</v>
      </c>
      <c r="M196" t="s">
        <v>1531</v>
      </c>
      <c r="N196" t="str">
        <f>HYPERLINK("http://dx.doi.org/10.1140/epjs/s11734-022-00453-5","http://dx.doi.org/10.1140/epjs/s11734-022-00453-5")</f>
        <v>http://dx.doi.org/10.1140/epjs/s11734-022-00453-5</v>
      </c>
      <c r="O196" t="s">
        <v>1532</v>
      </c>
      <c r="P196" t="str">
        <f>HYPERLINK("https%3A%2F%2Fwww.webofscience.com%2Fwos%2Fwoscc%2Ffull-record%2FWOS:000751240200001","View Full Record in Web of Science")</f>
        <v>View Full Record in Web of Science</v>
      </c>
    </row>
    <row r="197" spans="1:16" x14ac:dyDescent="0.25">
      <c r="A197" t="s">
        <v>1533</v>
      </c>
      <c r="B197" t="s">
        <v>1534</v>
      </c>
      <c r="C197" t="s">
        <v>1535</v>
      </c>
      <c r="D197" t="s">
        <v>1536</v>
      </c>
      <c r="E197" t="s">
        <v>32</v>
      </c>
      <c r="F197" t="s">
        <v>1537</v>
      </c>
      <c r="G197" t="s">
        <v>1538</v>
      </c>
      <c r="H197" t="s">
        <v>1539</v>
      </c>
      <c r="I197" t="s">
        <v>1540</v>
      </c>
      <c r="J197">
        <v>2022</v>
      </c>
      <c r="K197">
        <v>100</v>
      </c>
      <c r="L197">
        <v>2</v>
      </c>
      <c r="M197" t="s">
        <v>1541</v>
      </c>
      <c r="N197" t="str">
        <f>HYPERLINK("http://dx.doi.org/10.1080/00202967.2021.2023267","http://dx.doi.org/10.1080/00202967.2021.2023267")</f>
        <v>http://dx.doi.org/10.1080/00202967.2021.2023267</v>
      </c>
      <c r="O197" t="s">
        <v>1542</v>
      </c>
      <c r="P197" t="str">
        <f>HYPERLINK("https%3A%2F%2Fwww.webofscience.com%2Fwos%2Fwoscc%2Ffull-record%2FWOS:000750773000001","View Full Record in Web of Science")</f>
        <v>View Full Record in Web of Science</v>
      </c>
    </row>
    <row r="198" spans="1:16" x14ac:dyDescent="0.25">
      <c r="A198" t="s">
        <v>1543</v>
      </c>
      <c r="B198" t="s">
        <v>1544</v>
      </c>
      <c r="C198" t="s">
        <v>1545</v>
      </c>
      <c r="D198" t="s">
        <v>51</v>
      </c>
      <c r="E198" t="s">
        <v>213</v>
      </c>
      <c r="F198" t="s">
        <v>53</v>
      </c>
      <c r="G198" t="s">
        <v>54</v>
      </c>
      <c r="H198" t="s">
        <v>55</v>
      </c>
      <c r="I198" t="s">
        <v>1546</v>
      </c>
      <c r="J198">
        <v>2022</v>
      </c>
      <c r="K198">
        <v>430</v>
      </c>
      <c r="L198" t="s">
        <v>32</v>
      </c>
      <c r="M198" t="s">
        <v>1547</v>
      </c>
      <c r="N198" t="str">
        <f>HYPERLINK("http://dx.doi.org/10.1016/j.physleta.2022.127951","http://dx.doi.org/10.1016/j.physleta.2022.127951")</f>
        <v>http://dx.doi.org/10.1016/j.physleta.2022.127951</v>
      </c>
      <c r="O198" t="s">
        <v>1548</v>
      </c>
      <c r="P198" t="str">
        <f>HYPERLINK("https%3A%2F%2Fwww.webofscience.com%2Fwos%2Fwoscc%2Ffull-record%2FWOS:000750756300001","View Full Record in Web of Science")</f>
        <v>View Full Record in Web of Science</v>
      </c>
    </row>
    <row r="199" spans="1:16" x14ac:dyDescent="0.25">
      <c r="A199" t="s">
        <v>1549</v>
      </c>
      <c r="B199" t="s">
        <v>1550</v>
      </c>
      <c r="C199" t="s">
        <v>1551</v>
      </c>
      <c r="D199" t="s">
        <v>230</v>
      </c>
      <c r="E199" t="s">
        <v>1552</v>
      </c>
      <c r="F199" t="s">
        <v>1553</v>
      </c>
      <c r="G199" t="s">
        <v>233</v>
      </c>
      <c r="H199" t="s">
        <v>234</v>
      </c>
      <c r="I199" t="s">
        <v>1554</v>
      </c>
      <c r="J199">
        <v>2022</v>
      </c>
      <c r="K199">
        <v>2022</v>
      </c>
      <c r="L199" t="s">
        <v>32</v>
      </c>
      <c r="M199" t="s">
        <v>1555</v>
      </c>
      <c r="N199" t="str">
        <f>HYPERLINK("http://dx.doi.org/10.1155/2022/6202981","http://dx.doi.org/10.1155/2022/6202981")</f>
        <v>http://dx.doi.org/10.1155/2022/6202981</v>
      </c>
      <c r="O199" t="s">
        <v>1556</v>
      </c>
      <c r="P199" t="str">
        <f>HYPERLINK("https%3A%2F%2Fwww.webofscience.com%2Fwos%2Fwoscc%2Ffull-record%2FWOS:000751049700001","View Full Record in Web of Science")</f>
        <v>View Full Record in Web of Science</v>
      </c>
    </row>
    <row r="200" spans="1:16" x14ac:dyDescent="0.25">
      <c r="A200" t="s">
        <v>1557</v>
      </c>
      <c r="B200" t="s">
        <v>1558</v>
      </c>
      <c r="C200" t="s">
        <v>1559</v>
      </c>
      <c r="D200" t="s">
        <v>1485</v>
      </c>
      <c r="E200" t="s">
        <v>1560</v>
      </c>
      <c r="F200" t="s">
        <v>1561</v>
      </c>
      <c r="G200" t="s">
        <v>1488</v>
      </c>
      <c r="H200" t="s">
        <v>1489</v>
      </c>
      <c r="I200" t="s">
        <v>449</v>
      </c>
      <c r="J200">
        <v>2022</v>
      </c>
      <c r="K200">
        <v>231</v>
      </c>
      <c r="L200">
        <v>10</v>
      </c>
      <c r="M200" t="s">
        <v>1562</v>
      </c>
      <c r="N200" t="str">
        <f>HYPERLINK("http://dx.doi.org/10.1140/epjs/s11734-022-00454-4","http://dx.doi.org/10.1140/epjs/s11734-022-00454-4")</f>
        <v>http://dx.doi.org/10.1140/epjs/s11734-022-00454-4</v>
      </c>
      <c r="O200" t="s">
        <v>1563</v>
      </c>
      <c r="P200" t="str">
        <f>HYPERLINK("https%3A%2F%2Fwww.webofscience.com%2Fwos%2Fwoscc%2Ffull-record%2FWOS:000749460100001","View Full Record in Web of Science")</f>
        <v>View Full Record in Web of Science</v>
      </c>
    </row>
    <row r="201" spans="1:16" x14ac:dyDescent="0.25">
      <c r="A201" t="s">
        <v>1564</v>
      </c>
      <c r="B201" t="s">
        <v>1565</v>
      </c>
      <c r="C201" t="s">
        <v>1566</v>
      </c>
      <c r="D201" t="s">
        <v>719</v>
      </c>
      <c r="E201" t="s">
        <v>1567</v>
      </c>
      <c r="F201" t="s">
        <v>1568</v>
      </c>
      <c r="G201" t="s">
        <v>721</v>
      </c>
      <c r="H201" t="s">
        <v>722</v>
      </c>
      <c r="I201" t="s">
        <v>1569</v>
      </c>
      <c r="J201">
        <v>2022</v>
      </c>
      <c r="K201">
        <v>36</v>
      </c>
      <c r="L201">
        <v>1</v>
      </c>
      <c r="M201" t="s">
        <v>1570</v>
      </c>
      <c r="N201" t="str">
        <f>HYPERLINK("http://dx.doi.org/10.1142/S0217979222500023","http://dx.doi.org/10.1142/S0217979222500023")</f>
        <v>http://dx.doi.org/10.1142/S0217979222500023</v>
      </c>
      <c r="O201" t="s">
        <v>1571</v>
      </c>
      <c r="P201" t="str">
        <f>HYPERLINK("https%3A%2F%2Fwww.webofscience.com%2Fwos%2Fwoscc%2Ffull-record%2FWOS:000744572700010","View Full Record in Web of Science")</f>
        <v>View Full Record in Web of Science</v>
      </c>
    </row>
    <row r="202" spans="1:16" x14ac:dyDescent="0.25">
      <c r="A202" t="s">
        <v>1572</v>
      </c>
      <c r="B202" t="s">
        <v>1573</v>
      </c>
      <c r="C202" t="s">
        <v>1574</v>
      </c>
      <c r="D202" t="s">
        <v>1152</v>
      </c>
      <c r="E202" t="s">
        <v>1575</v>
      </c>
      <c r="F202" t="s">
        <v>1576</v>
      </c>
      <c r="G202" t="s">
        <v>32</v>
      </c>
      <c r="H202" t="s">
        <v>1155</v>
      </c>
      <c r="I202" t="s">
        <v>32</v>
      </c>
      <c r="J202">
        <v>2022</v>
      </c>
      <c r="K202">
        <v>7</v>
      </c>
      <c r="L202">
        <v>4</v>
      </c>
      <c r="M202" t="s">
        <v>1577</v>
      </c>
      <c r="N202" t="str">
        <f>HYPERLINK("http://dx.doi.org/10.3934/math.2022288","http://dx.doi.org/10.3934/math.2022288")</f>
        <v>http://dx.doi.org/10.3934/math.2022288</v>
      </c>
      <c r="O202" t="s">
        <v>1578</v>
      </c>
      <c r="P202" t="str">
        <f>HYPERLINK("https%3A%2F%2Fwww.webofscience.com%2Fwos%2Fwoscc%2Ffull-record%2FWOS:000744993900014","View Full Record in Web of Science")</f>
        <v>View Full Record in Web of Science</v>
      </c>
    </row>
    <row r="203" spans="1:16" x14ac:dyDescent="0.25">
      <c r="A203" t="s">
        <v>1579</v>
      </c>
      <c r="B203" t="s">
        <v>1580</v>
      </c>
      <c r="C203" t="s">
        <v>1581</v>
      </c>
      <c r="D203" t="s">
        <v>1582</v>
      </c>
      <c r="E203" t="s">
        <v>1583</v>
      </c>
      <c r="F203" t="s">
        <v>1584</v>
      </c>
      <c r="G203" t="s">
        <v>1585</v>
      </c>
      <c r="H203" t="s">
        <v>1586</v>
      </c>
      <c r="I203" t="s">
        <v>1587</v>
      </c>
      <c r="J203">
        <v>2022</v>
      </c>
      <c r="K203">
        <v>96</v>
      </c>
      <c r="L203">
        <v>1</v>
      </c>
      <c r="M203" t="s">
        <v>1588</v>
      </c>
      <c r="N203" t="str">
        <f>HYPERLINK("http://dx.doi.org/10.1007/s12043-021-02266-y","http://dx.doi.org/10.1007/s12043-021-02266-y")</f>
        <v>http://dx.doi.org/10.1007/s12043-021-02266-y</v>
      </c>
      <c r="O203" t="s">
        <v>1589</v>
      </c>
      <c r="P203" t="str">
        <f>HYPERLINK("https%3A%2F%2Fwww.webofscience.com%2Fwos%2Fwoscc%2Ffull-record%2FWOS:001029498000001","View Full Record in Web of Science")</f>
        <v>View Full Record in Web of Science</v>
      </c>
    </row>
    <row r="204" spans="1:16" x14ac:dyDescent="0.25">
      <c r="A204" t="s">
        <v>1590</v>
      </c>
      <c r="B204" t="s">
        <v>1591</v>
      </c>
      <c r="C204" t="s">
        <v>1592</v>
      </c>
      <c r="D204" t="s">
        <v>410</v>
      </c>
      <c r="E204" t="s">
        <v>1593</v>
      </c>
      <c r="F204" t="s">
        <v>1594</v>
      </c>
      <c r="G204" t="s">
        <v>413</v>
      </c>
      <c r="H204" t="s">
        <v>414</v>
      </c>
      <c r="I204" t="s">
        <v>1286</v>
      </c>
      <c r="J204">
        <v>2022</v>
      </c>
      <c r="K204">
        <v>54</v>
      </c>
      <c r="L204">
        <v>2</v>
      </c>
      <c r="M204" t="s">
        <v>1595</v>
      </c>
      <c r="N204" t="str">
        <f>HYPERLINK("http://dx.doi.org/10.1007/s11082-021-03439-0","http://dx.doi.org/10.1007/s11082-021-03439-0")</f>
        <v>http://dx.doi.org/10.1007/s11082-021-03439-0</v>
      </c>
      <c r="O204" t="s">
        <v>1596</v>
      </c>
      <c r="P204" t="str">
        <f>HYPERLINK("https%3A%2F%2Fwww.webofscience.com%2Fwos%2Fwoscc%2Ffull-record%2FWOS:000738776700013","View Full Record in Web of Science")</f>
        <v>View Full Record in Web of Science</v>
      </c>
    </row>
    <row r="205" spans="1:16" x14ac:dyDescent="0.25">
      <c r="A205" t="s">
        <v>1597</v>
      </c>
      <c r="B205" t="s">
        <v>1598</v>
      </c>
      <c r="C205" t="s">
        <v>1599</v>
      </c>
      <c r="D205" t="s">
        <v>410</v>
      </c>
      <c r="E205" t="s">
        <v>1600</v>
      </c>
      <c r="F205" t="s">
        <v>1601</v>
      </c>
      <c r="G205" t="s">
        <v>413</v>
      </c>
      <c r="H205" t="s">
        <v>414</v>
      </c>
      <c r="I205" t="s">
        <v>1286</v>
      </c>
      <c r="J205">
        <v>2022</v>
      </c>
      <c r="K205">
        <v>54</v>
      </c>
      <c r="L205">
        <v>2</v>
      </c>
      <c r="M205" t="s">
        <v>1602</v>
      </c>
      <c r="N205" t="str">
        <f>HYPERLINK("http://dx.doi.org/10.1007/s11082-021-03487-6","http://dx.doi.org/10.1007/s11082-021-03487-6")</f>
        <v>http://dx.doi.org/10.1007/s11082-021-03487-6</v>
      </c>
      <c r="O205" t="s">
        <v>1603</v>
      </c>
      <c r="P205" t="str">
        <f>HYPERLINK("https%3A%2F%2Fwww.webofscience.com%2Fwos%2Fwoscc%2Ffull-record%2FWOS:000738776700024","View Full Record in Web of Science")</f>
        <v>View Full Record in Web of Science</v>
      </c>
    </row>
    <row r="206" spans="1:16" x14ac:dyDescent="0.25">
      <c r="A206" t="s">
        <v>1604</v>
      </c>
      <c r="B206" t="s">
        <v>1605</v>
      </c>
      <c r="C206" t="s">
        <v>1606</v>
      </c>
      <c r="D206" t="s">
        <v>1607</v>
      </c>
      <c r="E206" t="s">
        <v>1608</v>
      </c>
      <c r="F206" t="s">
        <v>1609</v>
      </c>
      <c r="G206" t="s">
        <v>1610</v>
      </c>
      <c r="H206" t="s">
        <v>1611</v>
      </c>
      <c r="I206" t="s">
        <v>1612</v>
      </c>
      <c r="J206">
        <v>2022</v>
      </c>
      <c r="K206">
        <v>47</v>
      </c>
      <c r="L206">
        <v>3</v>
      </c>
      <c r="M206" t="s">
        <v>1613</v>
      </c>
      <c r="N206" t="str">
        <f>HYPERLINK("http://dx.doi.org/10.1515/tjb-2021-0172","http://dx.doi.org/10.1515/tjb-2021-0172")</f>
        <v>http://dx.doi.org/10.1515/tjb-2021-0172</v>
      </c>
      <c r="O206" t="s">
        <v>1614</v>
      </c>
      <c r="P206" t="str">
        <f>HYPERLINK("https%3A%2F%2Fwww.webofscience.com%2Fwos%2Fwoscc%2Ffull-record%2FWOS:000734474100001","View Full Record in Web of Science")</f>
        <v>View Full Record in Web of Science</v>
      </c>
    </row>
    <row r="207" spans="1:16" x14ac:dyDescent="0.25">
      <c r="A207" t="s">
        <v>1615</v>
      </c>
      <c r="B207" t="s">
        <v>1616</v>
      </c>
      <c r="C207" t="s">
        <v>1617</v>
      </c>
      <c r="D207" t="s">
        <v>410</v>
      </c>
      <c r="E207" t="s">
        <v>213</v>
      </c>
      <c r="F207" t="s">
        <v>53</v>
      </c>
      <c r="G207" t="s">
        <v>413</v>
      </c>
      <c r="H207" t="s">
        <v>414</v>
      </c>
      <c r="I207" t="s">
        <v>1333</v>
      </c>
      <c r="J207">
        <v>2022</v>
      </c>
      <c r="K207">
        <v>54</v>
      </c>
      <c r="L207">
        <v>1</v>
      </c>
      <c r="M207" t="s">
        <v>1618</v>
      </c>
      <c r="N207" t="str">
        <f>HYPERLINK("http://dx.doi.org/10.1007/s11082-021-03359-z","http://dx.doi.org/10.1007/s11082-021-03359-z")</f>
        <v>http://dx.doi.org/10.1007/s11082-021-03359-z</v>
      </c>
      <c r="O207" t="s">
        <v>1619</v>
      </c>
      <c r="P207" t="str">
        <f>HYPERLINK("https%3A%2F%2Fwww.webofscience.com%2Fwos%2Fwoscc%2Ffull-record%2FWOS:000728427600006","View Full Record in Web of Science")</f>
        <v>View Full Record in Web of Science</v>
      </c>
    </row>
    <row r="208" spans="1:16" x14ac:dyDescent="0.25">
      <c r="A208" t="s">
        <v>1620</v>
      </c>
      <c r="B208" t="s">
        <v>1621</v>
      </c>
      <c r="C208" t="s">
        <v>1622</v>
      </c>
      <c r="D208" t="s">
        <v>410</v>
      </c>
      <c r="E208" t="s">
        <v>1623</v>
      </c>
      <c r="F208" t="s">
        <v>1624</v>
      </c>
      <c r="G208" t="s">
        <v>413</v>
      </c>
      <c r="H208" t="s">
        <v>414</v>
      </c>
      <c r="I208" t="s">
        <v>1333</v>
      </c>
      <c r="J208">
        <v>2022</v>
      </c>
      <c r="K208">
        <v>54</v>
      </c>
      <c r="L208">
        <v>1</v>
      </c>
      <c r="M208" t="s">
        <v>1625</v>
      </c>
      <c r="N208" t="str">
        <f>HYPERLINK("http://dx.doi.org/10.1007/s11082-021-03378-w","http://dx.doi.org/10.1007/s11082-021-03378-w")</f>
        <v>http://dx.doi.org/10.1007/s11082-021-03378-w</v>
      </c>
      <c r="O208" t="s">
        <v>1626</v>
      </c>
      <c r="P208" t="str">
        <f>HYPERLINK("https%3A%2F%2Fwww.webofscience.com%2Fwos%2Fwoscc%2Ffull-record%2FWOS:000726094300001","View Full Record in Web of Science")</f>
        <v>View Full Record in Web of Science</v>
      </c>
    </row>
    <row r="209" spans="1:16" x14ac:dyDescent="0.25">
      <c r="A209" t="s">
        <v>1627</v>
      </c>
      <c r="B209" t="s">
        <v>1628</v>
      </c>
      <c r="C209" t="s">
        <v>1629</v>
      </c>
      <c r="D209" t="s">
        <v>1630</v>
      </c>
      <c r="E209" t="s">
        <v>1631</v>
      </c>
      <c r="F209" t="s">
        <v>1632</v>
      </c>
      <c r="G209" t="s">
        <v>1633</v>
      </c>
      <c r="H209" t="s">
        <v>1634</v>
      </c>
      <c r="I209" t="s">
        <v>1635</v>
      </c>
      <c r="J209">
        <v>2022</v>
      </c>
      <c r="K209">
        <v>55</v>
      </c>
      <c r="L209" t="s">
        <v>32</v>
      </c>
      <c r="M209" t="s">
        <v>1636</v>
      </c>
      <c r="N209" t="str">
        <f>HYPERLINK("http://dx.doi.org/10.1016/j.bmcl.2021.128453","http://dx.doi.org/10.1016/j.bmcl.2021.128453")</f>
        <v>http://dx.doi.org/10.1016/j.bmcl.2021.128453</v>
      </c>
      <c r="O209" t="s">
        <v>1637</v>
      </c>
      <c r="P209" t="str">
        <f>HYPERLINK("https%3A%2F%2Fwww.webofscience.com%2Fwos%2Fwoscc%2Ffull-record%2FWOS:000722151500008","View Full Record in Web of Science")</f>
        <v>View Full Record in Web of Science</v>
      </c>
    </row>
    <row r="210" spans="1:16" x14ac:dyDescent="0.25">
      <c r="A210" t="s">
        <v>1638</v>
      </c>
      <c r="B210" t="s">
        <v>1639</v>
      </c>
      <c r="C210" t="s">
        <v>1640</v>
      </c>
      <c r="D210" t="s">
        <v>1641</v>
      </c>
      <c r="E210" t="s">
        <v>1642</v>
      </c>
      <c r="F210" t="s">
        <v>1643</v>
      </c>
      <c r="G210" t="s">
        <v>1644</v>
      </c>
      <c r="H210" t="s">
        <v>1645</v>
      </c>
      <c r="I210" t="s">
        <v>1333</v>
      </c>
      <c r="J210">
        <v>2022</v>
      </c>
      <c r="K210">
        <v>54</v>
      </c>
      <c r="L210">
        <v>1</v>
      </c>
      <c r="M210" t="s">
        <v>1646</v>
      </c>
      <c r="N210" t="str">
        <f>HYPERLINK("http://dx.doi.org/10.1007/s00726-021-03101-9","http://dx.doi.org/10.1007/s00726-021-03101-9")</f>
        <v>http://dx.doi.org/10.1007/s00726-021-03101-9</v>
      </c>
      <c r="O210" t="s">
        <v>1647</v>
      </c>
      <c r="P210" t="str">
        <f>HYPERLINK("https%3A%2F%2Fwww.webofscience.com%2Fwos%2Fwoscc%2Ffull-record%2FWOS:000722828000002","View Full Record in Web of Science")</f>
        <v>View Full Record in Web of Science</v>
      </c>
    </row>
    <row r="211" spans="1:16" x14ac:dyDescent="0.25">
      <c r="A211" t="s">
        <v>1648</v>
      </c>
      <c r="B211" t="s">
        <v>1649</v>
      </c>
      <c r="C211" t="s">
        <v>1650</v>
      </c>
      <c r="D211" t="s">
        <v>410</v>
      </c>
      <c r="E211" t="s">
        <v>213</v>
      </c>
      <c r="F211" t="s">
        <v>53</v>
      </c>
      <c r="G211" t="s">
        <v>413</v>
      </c>
      <c r="H211" t="s">
        <v>414</v>
      </c>
      <c r="I211" t="s">
        <v>1333</v>
      </c>
      <c r="J211">
        <v>2022</v>
      </c>
      <c r="K211">
        <v>54</v>
      </c>
      <c r="L211">
        <v>1</v>
      </c>
      <c r="M211" t="s">
        <v>1651</v>
      </c>
      <c r="N211" t="str">
        <f>HYPERLINK("http://dx.doi.org/10.1007/s11082-021-03377-x","http://dx.doi.org/10.1007/s11082-021-03377-x")</f>
        <v>http://dx.doi.org/10.1007/s11082-021-03377-x</v>
      </c>
      <c r="O211" t="s">
        <v>1652</v>
      </c>
      <c r="P211" t="str">
        <f>HYPERLINK("https%3A%2F%2Fwww.webofscience.com%2Fwos%2Fwoscc%2Ffull-record%2FWOS:000722225700005","View Full Record in Web of Science")</f>
        <v>View Full Record in Web of Science</v>
      </c>
    </row>
    <row r="212" spans="1:16" x14ac:dyDescent="0.25">
      <c r="A212" t="s">
        <v>1653</v>
      </c>
      <c r="B212" t="s">
        <v>1654</v>
      </c>
      <c r="C212" t="s">
        <v>1655</v>
      </c>
      <c r="D212" t="s">
        <v>1503</v>
      </c>
      <c r="E212" t="s">
        <v>213</v>
      </c>
      <c r="F212" t="s">
        <v>53</v>
      </c>
      <c r="G212" t="s">
        <v>1505</v>
      </c>
      <c r="H212" t="s">
        <v>1506</v>
      </c>
      <c r="I212" t="s">
        <v>449</v>
      </c>
      <c r="J212">
        <v>2022</v>
      </c>
      <c r="K212">
        <v>96</v>
      </c>
      <c r="L212">
        <v>10</v>
      </c>
      <c r="M212" t="s">
        <v>1656</v>
      </c>
      <c r="N212" t="str">
        <f>HYPERLINK("http://dx.doi.org/10.1007/s12648-021-02198-8","http://dx.doi.org/10.1007/s12648-021-02198-8")</f>
        <v>http://dx.doi.org/10.1007/s12648-021-02198-8</v>
      </c>
      <c r="O212" t="s">
        <v>1657</v>
      </c>
      <c r="P212" t="str">
        <f>HYPERLINK("https%3A%2F%2Fwww.webofscience.com%2Fwos%2Fwoscc%2Ffull-record%2FWOS:000706048300001","View Full Record in Web of Science")</f>
        <v>View Full Record in Web of Science</v>
      </c>
    </row>
    <row r="213" spans="1:16" x14ac:dyDescent="0.25">
      <c r="A213" t="s">
        <v>1658</v>
      </c>
      <c r="B213" t="s">
        <v>1659</v>
      </c>
      <c r="C213" t="s">
        <v>1660</v>
      </c>
      <c r="D213" t="s">
        <v>1661</v>
      </c>
      <c r="E213" t="s">
        <v>1662</v>
      </c>
      <c r="F213" t="s">
        <v>1663</v>
      </c>
      <c r="G213" t="s">
        <v>1664</v>
      </c>
      <c r="H213" t="s">
        <v>1665</v>
      </c>
      <c r="I213" t="s">
        <v>449</v>
      </c>
      <c r="J213">
        <v>2022</v>
      </c>
      <c r="K213">
        <v>68</v>
      </c>
      <c r="L213">
        <v>4</v>
      </c>
      <c r="M213" t="s">
        <v>1666</v>
      </c>
      <c r="N213" t="str">
        <f>HYPERLINK("http://dx.doi.org/10.1007/s12190-021-01629-3","http://dx.doi.org/10.1007/s12190-021-01629-3")</f>
        <v>http://dx.doi.org/10.1007/s12190-021-01629-3</v>
      </c>
      <c r="O213" t="s">
        <v>1667</v>
      </c>
      <c r="P213" t="str">
        <f>HYPERLINK("https%3A%2F%2Fwww.webofscience.com%2Fwos%2Fwoscc%2Ffull-record%2FWOS:000695786200001","View Full Record in Web of Science")</f>
        <v>View Full Record in Web of Science</v>
      </c>
    </row>
    <row r="214" spans="1:16" x14ac:dyDescent="0.25">
      <c r="A214" t="s">
        <v>1668</v>
      </c>
      <c r="B214" t="s">
        <v>1669</v>
      </c>
      <c r="C214" t="s">
        <v>1670</v>
      </c>
      <c r="D214" t="s">
        <v>1671</v>
      </c>
      <c r="E214" t="s">
        <v>1672</v>
      </c>
      <c r="F214" t="s">
        <v>1673</v>
      </c>
      <c r="G214" t="s">
        <v>1674</v>
      </c>
      <c r="H214" t="s">
        <v>1675</v>
      </c>
      <c r="I214" t="s">
        <v>1676</v>
      </c>
      <c r="J214">
        <v>2022</v>
      </c>
      <c r="K214">
        <v>45</v>
      </c>
      <c r="L214">
        <v>1</v>
      </c>
      <c r="M214" t="s">
        <v>1677</v>
      </c>
      <c r="N214" t="str">
        <f>HYPERLINK("http://dx.doi.org/10.1002/mma.7782","http://dx.doi.org/10.1002/mma.7782")</f>
        <v>http://dx.doi.org/10.1002/mma.7782</v>
      </c>
      <c r="O214" t="s">
        <v>1678</v>
      </c>
      <c r="P214" t="str">
        <f>HYPERLINK("https%3A%2F%2Fwww.webofscience.com%2Fwos%2Fwoscc%2Ffull-record%2FWOS:000697325800001","View Full Record in Web of Science")</f>
        <v>View Full Record in Web of Science</v>
      </c>
    </row>
    <row r="215" spans="1:16" x14ac:dyDescent="0.25">
      <c r="A215" t="s">
        <v>1679</v>
      </c>
      <c r="B215" t="s">
        <v>1680</v>
      </c>
      <c r="C215" t="s">
        <v>1681</v>
      </c>
      <c r="D215" t="s">
        <v>1682</v>
      </c>
      <c r="E215" t="s">
        <v>1258</v>
      </c>
      <c r="F215" t="s">
        <v>1259</v>
      </c>
      <c r="G215" t="s">
        <v>1683</v>
      </c>
      <c r="H215" t="s">
        <v>1684</v>
      </c>
      <c r="I215" t="s">
        <v>93</v>
      </c>
      <c r="J215">
        <v>2022</v>
      </c>
      <c r="K215">
        <v>147</v>
      </c>
      <c r="L215">
        <v>12</v>
      </c>
      <c r="M215" t="s">
        <v>1685</v>
      </c>
      <c r="N215" t="str">
        <f>HYPERLINK("http://dx.doi.org/10.1007/s10973-021-10983-0","http://dx.doi.org/10.1007/s10973-021-10983-0")</f>
        <v>http://dx.doi.org/10.1007/s10973-021-10983-0</v>
      </c>
      <c r="O215" t="s">
        <v>1686</v>
      </c>
      <c r="P215" t="str">
        <f>HYPERLINK("https%3A%2F%2Fwww.webofscience.com%2Fwos%2Fwoscc%2Ffull-record%2FWOS:000681570400006","View Full Record in Web of Science")</f>
        <v>View Full Record in Web of Science</v>
      </c>
    </row>
    <row r="216" spans="1:16" x14ac:dyDescent="0.25">
      <c r="A216" t="s">
        <v>1687</v>
      </c>
      <c r="B216" t="s">
        <v>1688</v>
      </c>
      <c r="C216" t="s">
        <v>1689</v>
      </c>
      <c r="D216" t="s">
        <v>1503</v>
      </c>
      <c r="E216" t="s">
        <v>213</v>
      </c>
      <c r="F216" t="s">
        <v>53</v>
      </c>
      <c r="G216" t="s">
        <v>1505</v>
      </c>
      <c r="H216" t="s">
        <v>1506</v>
      </c>
      <c r="I216" t="s">
        <v>93</v>
      </c>
      <c r="J216">
        <v>2022</v>
      </c>
      <c r="K216">
        <v>96</v>
      </c>
      <c r="L216">
        <v>7</v>
      </c>
      <c r="M216" t="s">
        <v>1690</v>
      </c>
      <c r="N216" t="str">
        <f>HYPERLINK("http://dx.doi.org/10.1007/s12648-021-02168-0","http://dx.doi.org/10.1007/s12648-021-02168-0")</f>
        <v>http://dx.doi.org/10.1007/s12648-021-02168-0</v>
      </c>
      <c r="O216" t="s">
        <v>1691</v>
      </c>
      <c r="P216" t="str">
        <f>HYPERLINK("https%3A%2F%2Fwww.webofscience.com%2Fwos%2Fwoscc%2Ffull-record%2FWOS:000671521100001","View Full Record in Web of Science")</f>
        <v>View Full Record in Web of Science</v>
      </c>
    </row>
    <row r="217" spans="1:16" x14ac:dyDescent="0.25">
      <c r="A217" t="s">
        <v>1692</v>
      </c>
      <c r="B217" t="s">
        <v>1693</v>
      </c>
      <c r="C217" t="s">
        <v>1694</v>
      </c>
      <c r="D217" t="s">
        <v>1695</v>
      </c>
      <c r="E217" t="s">
        <v>231</v>
      </c>
      <c r="F217" t="s">
        <v>1696</v>
      </c>
      <c r="G217" t="s">
        <v>1697</v>
      </c>
      <c r="H217" t="s">
        <v>1698</v>
      </c>
      <c r="I217" t="s">
        <v>427</v>
      </c>
      <c r="J217">
        <v>2022</v>
      </c>
      <c r="K217">
        <v>38</v>
      </c>
      <c r="L217" t="s">
        <v>1699</v>
      </c>
      <c r="M217" t="s">
        <v>1700</v>
      </c>
      <c r="N217" t="str">
        <f>HYPERLINK("http://dx.doi.org/10.1007/s00366-021-01462-z","http://dx.doi.org/10.1007/s00366-021-01462-z")</f>
        <v>http://dx.doi.org/10.1007/s00366-021-01462-z</v>
      </c>
      <c r="O217" t="s">
        <v>1701</v>
      </c>
      <c r="P217" t="str">
        <f>HYPERLINK("https%3A%2F%2Fwww.webofscience.com%2Fwos%2Fwoscc%2Ffull-record%2FWOS:000670178700002","View Full Record in Web of Science")</f>
        <v>View Full Record in Web of Science</v>
      </c>
    </row>
    <row r="218" spans="1:16" x14ac:dyDescent="0.25">
      <c r="A218" t="s">
        <v>1702</v>
      </c>
      <c r="B218" t="s">
        <v>1703</v>
      </c>
      <c r="C218" t="s">
        <v>1704</v>
      </c>
      <c r="D218" t="s">
        <v>1705</v>
      </c>
      <c r="E218" t="s">
        <v>1706</v>
      </c>
      <c r="F218" t="s">
        <v>1707</v>
      </c>
      <c r="G218" t="s">
        <v>1708</v>
      </c>
      <c r="H218" t="s">
        <v>32</v>
      </c>
      <c r="I218" t="s">
        <v>1709</v>
      </c>
      <c r="J218">
        <v>2022</v>
      </c>
      <c r="K218">
        <v>12</v>
      </c>
      <c r="L218">
        <v>1</v>
      </c>
      <c r="M218" t="s">
        <v>1710</v>
      </c>
      <c r="N218" t="str">
        <f>HYPERLINK("http://dx.doi.org/10.33263/BRIAC121.304325","http://dx.doi.org/10.33263/BRIAC121.304325")</f>
        <v>http://dx.doi.org/10.33263/BRIAC121.304325</v>
      </c>
      <c r="O218" t="s">
        <v>1711</v>
      </c>
      <c r="P218" t="str">
        <f>HYPERLINK("https%3A%2F%2Fwww.webofscience.com%2Fwos%2Fwoscc%2Ffull-record%2FWOS:000646310900024","View Full Record in Web of Science")</f>
        <v>View Full Record in Web of Science</v>
      </c>
    </row>
    <row r="219" spans="1:16" x14ac:dyDescent="0.25">
      <c r="A219" t="s">
        <v>1712</v>
      </c>
      <c r="B219" t="s">
        <v>1713</v>
      </c>
      <c r="C219" t="s">
        <v>1714</v>
      </c>
      <c r="D219" t="s">
        <v>1503</v>
      </c>
      <c r="E219" t="s">
        <v>456</v>
      </c>
      <c r="F219" t="s">
        <v>1715</v>
      </c>
      <c r="G219" t="s">
        <v>1505</v>
      </c>
      <c r="H219" t="s">
        <v>1506</v>
      </c>
      <c r="I219" t="s">
        <v>1333</v>
      </c>
      <c r="J219">
        <v>2022</v>
      </c>
      <c r="K219">
        <v>96</v>
      </c>
      <c r="L219">
        <v>1</v>
      </c>
      <c r="M219" t="s">
        <v>1716</v>
      </c>
      <c r="N219" t="str">
        <f>HYPERLINK("http://dx.doi.org/10.1007/s12648-020-01958-2","http://dx.doi.org/10.1007/s12648-020-01958-2")</f>
        <v>http://dx.doi.org/10.1007/s12648-020-01958-2</v>
      </c>
      <c r="O219" t="s">
        <v>1717</v>
      </c>
      <c r="P219" t="str">
        <f>HYPERLINK("https%3A%2F%2Fwww.webofscience.com%2Fwos%2Fwoscc%2Ffull-record%2FWOS:000604081300002","View Full Record in Web of Science")</f>
        <v>View Full Record in Web of Science</v>
      </c>
    </row>
    <row r="220" spans="1:16" x14ac:dyDescent="0.25">
      <c r="A220" t="s">
        <v>1718</v>
      </c>
      <c r="B220" t="s">
        <v>1719</v>
      </c>
      <c r="C220" t="s">
        <v>1720</v>
      </c>
      <c r="D220" t="s">
        <v>1721</v>
      </c>
      <c r="E220" t="s">
        <v>1722</v>
      </c>
      <c r="F220" t="s">
        <v>1723</v>
      </c>
      <c r="G220" t="s">
        <v>1724</v>
      </c>
      <c r="H220" t="s">
        <v>1725</v>
      </c>
      <c r="I220" t="s">
        <v>1333</v>
      </c>
      <c r="J220">
        <v>2022</v>
      </c>
      <c r="K220">
        <v>34</v>
      </c>
      <c r="L220">
        <v>1</v>
      </c>
      <c r="M220" t="s">
        <v>1726</v>
      </c>
      <c r="N220" t="str">
        <f>HYPERLINK("http://dx.doi.org/10.1038/s41443-020-00362-y","http://dx.doi.org/10.1038/s41443-020-00362-y")</f>
        <v>http://dx.doi.org/10.1038/s41443-020-00362-y</v>
      </c>
      <c r="O220" t="s">
        <v>1727</v>
      </c>
      <c r="P220" t="str">
        <f>HYPERLINK("https%3A%2F%2Fwww.webofscience.com%2Fwos%2Fwoscc%2Ffull-record%2FWOS:000578496100001","View Full Record in Web of Science")</f>
        <v>View Full Record in Web of Science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Hatice DOGRU</dc:creator>
  <cp:lastModifiedBy>Hatice DOGRU</cp:lastModifiedBy>
  <dcterms:created xsi:type="dcterms:W3CDTF">2023-11-01T14:10:29Z</dcterms:created>
  <dcterms:modified xsi:type="dcterms:W3CDTF">2023-11-01T14:11:11Z</dcterms:modified>
</cp:coreProperties>
</file>